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土增税\F03仓库\0218第二版\"/>
    </mc:Choice>
  </mc:AlternateContent>
  <bookViews>
    <workbookView xWindow="0" yWindow="0" windowWidth="17220" windowHeight="13224"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Sheet1" sheetId="8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汇总表" sheetId="83" r:id="rId20"/>
    <sheet name="成本法-仓库5.6" sheetId="81" r:id="rId21"/>
    <sheet name="成本法-办公楼1" sheetId="69" state="hidden" r:id="rId22"/>
    <sheet name="基准地价修正" sheetId="43" r:id="rId23"/>
    <sheet name="成本法" sheetId="68" state="hidden" r:id="rId24"/>
    <sheet name="假设开发法" sheetId="12" state="hidden" r:id="rId25"/>
    <sheet name="收益法" sheetId="15" state="hidden" r:id="rId26"/>
    <sheet name="收益法 -办公楼1" sheetId="82" state="hidden" r:id="rId27"/>
    <sheet name="收益法-仓库5.6" sheetId="67"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1">'成本法-办公楼1'!$A$1:$G$57</definedName>
    <definedName name="_xlnm.Print_Area" localSheetId="20">'成本法-仓库5.6'!$A$1:$G$57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-办公楼1'!$A$1:$F$43,'收益法 -办公楼1'!$H$3:$M$29,'收益法 -办公楼1'!$A$45:$F$71,'收益法 -办公楼1'!$I$46:$N$65</definedName>
    <definedName name="_xlnm.Print_Area" localSheetId="29">'收益法（汇总）'!$A$1:$F$13</definedName>
    <definedName name="_xlnm.Print_Area" localSheetId="27">'收益法-仓库5.6'!$A$1:$F$43,'收益法-仓库5.6'!$H$3:$M$29,'收益法-仓库5.6'!$A$45:$F$71,'收益法-仓库5.6'!$I$46:$N$65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7"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57" i="67"/>
  <c r="J55" i="67"/>
  <c r="J58" i="67"/>
  <c r="J59" i="67"/>
  <c r="J60" i="67"/>
  <c r="L46" i="67"/>
  <c r="D2" i="67"/>
  <c r="B3" i="67"/>
  <c r="E3" i="83"/>
  <c r="D10" i="81"/>
  <c r="C6" i="81"/>
  <c r="C7" i="81"/>
  <c r="D9" i="81"/>
  <c r="C9" i="81"/>
  <c r="C10" i="81"/>
  <c r="C8" i="81"/>
  <c r="C5" i="81"/>
  <c r="C20" i="81"/>
  <c r="F22" i="81"/>
  <c r="C23" i="81"/>
  <c r="C24" i="81"/>
  <c r="C25" i="81"/>
  <c r="C22" i="81"/>
  <c r="F27" i="81"/>
  <c r="C28" i="81"/>
  <c r="C27" i="81"/>
  <c r="C26" i="81"/>
  <c r="D22" i="81"/>
  <c r="C29" i="81"/>
  <c r="D27" i="81"/>
  <c r="C31" i="81"/>
  <c r="C34" i="81"/>
  <c r="C35" i="81"/>
  <c r="C36" i="81"/>
  <c r="D19" i="81"/>
  <c r="D37" i="81"/>
  <c r="C37" i="81"/>
  <c r="C38" i="81"/>
  <c r="C33" i="81"/>
  <c r="C39" i="81"/>
  <c r="C42" i="81"/>
  <c r="C43" i="81"/>
  <c r="C41" i="81"/>
  <c r="C46" i="81"/>
  <c r="C45" i="81"/>
  <c r="C44" i="81"/>
  <c r="D41" i="81"/>
  <c r="C47" i="81"/>
  <c r="D45" i="81"/>
  <c r="C49" i="81"/>
  <c r="C51" i="81"/>
  <c r="C52" i="81"/>
  <c r="B2" i="81"/>
  <c r="B3" i="81"/>
  <c r="G3" i="83"/>
  <c r="I3" i="83"/>
  <c r="H21" i="83"/>
  <c r="P21" i="83"/>
  <c r="P22" i="83"/>
  <c r="P24" i="83"/>
  <c r="P25" i="83"/>
  <c r="P29" i="83"/>
  <c r="P30" i="83"/>
  <c r="N29" i="83"/>
  <c r="P27" i="83"/>
  <c r="Q26" i="83"/>
  <c r="P26" i="83"/>
  <c r="I20" i="83"/>
  <c r="Q20" i="83"/>
  <c r="H20" i="83"/>
  <c r="P20" i="83"/>
  <c r="P28" i="83"/>
  <c r="Q23" i="83"/>
  <c r="P23" i="83"/>
  <c r="R6" i="1"/>
  <c r="F3" i="83"/>
  <c r="H2" i="83"/>
  <c r="J50" i="67"/>
  <c r="J51" i="67"/>
  <c r="H3" i="83"/>
  <c r="F4" i="83"/>
  <c r="H4" i="83"/>
  <c r="F5" i="83"/>
  <c r="H5" i="83"/>
  <c r="D4" i="83"/>
  <c r="D5" i="83"/>
  <c r="D6" i="83"/>
  <c r="B14" i="74"/>
  <c r="B1" i="74"/>
  <c r="F50" i="69"/>
  <c r="F50" i="81"/>
  <c r="G84" i="43"/>
  <c r="G85" i="43"/>
  <c r="G86" i="43"/>
  <c r="G87" i="43"/>
  <c r="G88" i="43"/>
  <c r="G89" i="43"/>
  <c r="G90" i="43"/>
  <c r="G83" i="43"/>
  <c r="B59" i="1"/>
  <c r="D3" i="83"/>
  <c r="D2" i="83"/>
  <c r="D3" i="4"/>
  <c r="H15" i="4"/>
  <c r="F6" i="1"/>
  <c r="AE6" i="1"/>
  <c r="H13" i="4"/>
  <c r="Q72" i="82"/>
  <c r="Q59" i="82"/>
  <c r="K59" i="82"/>
  <c r="P74" i="82"/>
  <c r="F59" i="82"/>
  <c r="Q58" i="82"/>
  <c r="Q51" i="82"/>
  <c r="J50" i="82"/>
  <c r="M47" i="82"/>
  <c r="D46" i="82"/>
  <c r="B52" i="1"/>
  <c r="F34" i="82"/>
  <c r="F62" i="82"/>
  <c r="F33" i="82"/>
  <c r="F61" i="82"/>
  <c r="F32" i="82"/>
  <c r="F60" i="82"/>
  <c r="F31" i="82"/>
  <c r="F28" i="82"/>
  <c r="B2" i="1"/>
  <c r="C42" i="1"/>
  <c r="C28" i="82"/>
  <c r="F23" i="82"/>
  <c r="D24" i="82"/>
  <c r="D23" i="82"/>
  <c r="D22" i="82"/>
  <c r="F21" i="82"/>
  <c r="M20" i="82"/>
  <c r="F20" i="82"/>
  <c r="M19" i="82"/>
  <c r="M18" i="82"/>
  <c r="F18" i="82"/>
  <c r="M17" i="82"/>
  <c r="F17" i="82"/>
  <c r="F15" i="82"/>
  <c r="G1" i="82"/>
  <c r="M6" i="1"/>
  <c r="M7" i="1"/>
  <c r="M16" i="1"/>
  <c r="N16" i="1"/>
  <c r="C48" i="81"/>
  <c r="G41" i="81"/>
  <c r="F38" i="81"/>
  <c r="E37" i="81"/>
  <c r="F36" i="81"/>
  <c r="F35" i="81"/>
  <c r="F30" i="81"/>
  <c r="F48" i="81"/>
  <c r="C30" i="81"/>
  <c r="G22" i="81"/>
  <c r="F21" i="81"/>
  <c r="F40" i="81"/>
  <c r="F20" i="81"/>
  <c r="F39" i="81"/>
  <c r="E19" i="81"/>
  <c r="E10" i="81"/>
  <c r="E9" i="81"/>
  <c r="F7" i="81"/>
  <c r="H1" i="81"/>
  <c r="G1" i="81"/>
  <c r="AH7" i="1"/>
  <c r="AH6" i="1"/>
  <c r="Y7" i="1"/>
  <c r="Y6" i="1"/>
  <c r="V7" i="1"/>
  <c r="P61" i="82"/>
  <c r="J51" i="82"/>
  <c r="C19" i="81"/>
  <c r="C40" i="81"/>
  <c r="C21" i="81"/>
  <c r="G23" i="43"/>
  <c r="C23" i="43"/>
  <c r="F7" i="1"/>
  <c r="I24" i="43"/>
  <c r="C24" i="43"/>
  <c r="D83" i="43"/>
  <c r="D84" i="43"/>
  <c r="K85" i="43"/>
  <c r="D85" i="43"/>
  <c r="K86" i="43"/>
  <c r="J86" i="43"/>
  <c r="D86" i="43"/>
  <c r="M89" i="43"/>
  <c r="D89" i="43"/>
  <c r="D88" i="43"/>
  <c r="D90" i="43"/>
  <c r="M87" i="43"/>
  <c r="D87" i="43"/>
  <c r="E83" i="43"/>
  <c r="B81" i="43"/>
  <c r="C28" i="43"/>
  <c r="C33" i="43"/>
  <c r="F20" i="6"/>
  <c r="F19" i="6"/>
  <c r="G13" i="4"/>
  <c r="D60" i="78"/>
  <c r="C60" i="78"/>
  <c r="B55" i="78"/>
  <c r="D55" i="78"/>
  <c r="D53" i="78"/>
  <c r="D52" i="78"/>
  <c r="D51" i="78"/>
  <c r="B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G15" i="73"/>
  <c r="F15" i="73"/>
  <c r="E15" i="73"/>
  <c r="G16" i="73"/>
  <c r="F16" i="73"/>
  <c r="E16" i="73"/>
  <c r="AB32" i="79"/>
  <c r="AA32" i="79"/>
  <c r="Z32" i="79"/>
  <c r="N32" i="79"/>
  <c r="M32" i="79"/>
  <c r="P32" i="79"/>
  <c r="L32" i="79"/>
  <c r="I32" i="79"/>
  <c r="AC7" i="79"/>
  <c r="AB7" i="79"/>
  <c r="AA7" i="79"/>
  <c r="AD7" i="79"/>
  <c r="Z7" i="79"/>
  <c r="Y7" i="79"/>
  <c r="O7" i="79"/>
  <c r="N7" i="79"/>
  <c r="M7" i="79"/>
  <c r="P7" i="79"/>
  <c r="L7" i="79"/>
  <c r="K7" i="79"/>
  <c r="I7" i="79"/>
  <c r="I10" i="79"/>
  <c r="I35" i="79"/>
  <c r="I34"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36" i="79"/>
  <c r="I37" i="79"/>
  <c r="I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c r="E28" i="79"/>
  <c r="AC21" i="79"/>
  <c r="AB21" i="79"/>
  <c r="AA21" i="79"/>
  <c r="AD21" i="79"/>
  <c r="Z21" i="79"/>
  <c r="Y21" i="79"/>
  <c r="W21" i="79"/>
  <c r="P21" i="79"/>
  <c r="O21" i="79"/>
  <c r="N21" i="79"/>
  <c r="M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D17" i="79"/>
  <c r="AC17" i="79"/>
  <c r="AB17" i="79"/>
  <c r="AA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Y8" i="79"/>
  <c r="O8" i="79"/>
  <c r="N8" i="79"/>
  <c r="M8" i="79"/>
  <c r="L8" i="79"/>
  <c r="K8" i="79"/>
  <c r="I8"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c r="T19" i="79"/>
  <c r="W19" i="79"/>
  <c r="AD32" i="79"/>
  <c r="AD31" i="79"/>
  <c r="Z3" i="79"/>
  <c r="AA28" i="79"/>
  <c r="AD28" i="79"/>
  <c r="T34" i="79"/>
  <c r="W34" i="79"/>
  <c r="U40" i="79"/>
  <c r="AD41" i="79"/>
  <c r="S42" i="79"/>
  <c r="U44" i="79"/>
  <c r="AD45" i="79"/>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W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c r="D5"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C51"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6" i="71"/>
  <c r="F38" i="71"/>
  <c r="F39" i="71"/>
  <c r="F40" i="71"/>
  <c r="V40" i="71"/>
  <c r="Q37" i="71"/>
  <c r="AB37" i="71"/>
  <c r="P37" i="71"/>
  <c r="O37" i="71"/>
  <c r="Y35" i="71"/>
  <c r="Z35" i="71"/>
  <c r="N37" i="71"/>
  <c r="B38" i="71"/>
  <c r="D37" i="71"/>
  <c r="Q36" i="71"/>
  <c r="AB36" i="71"/>
  <c r="P36" i="71"/>
  <c r="AA35" i="71"/>
  <c r="O36" i="71"/>
  <c r="N36" i="71"/>
  <c r="Q35" i="71"/>
  <c r="AB35" i="71"/>
  <c r="P35" i="71"/>
  <c r="O35" i="71"/>
  <c r="N35" i="71"/>
  <c r="Q34" i="71"/>
  <c r="AB34" i="71"/>
  <c r="P34" i="71"/>
  <c r="AA34" i="71"/>
  <c r="O34" i="71"/>
  <c r="N34" i="71"/>
  <c r="Q33" i="71"/>
  <c r="F34" i="71"/>
  <c r="F35" i="71"/>
  <c r="F36" i="71"/>
  <c r="V36" i="71"/>
  <c r="P33" i="71"/>
  <c r="O33" i="71"/>
  <c r="N33" i="71"/>
  <c r="B34" i="71"/>
  <c r="B35" i="71"/>
  <c r="B36" i="71"/>
  <c r="S36" i="71"/>
  <c r="D33" i="71"/>
  <c r="Q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B30" i="71"/>
  <c r="B31" i="71"/>
  <c r="B32" i="71"/>
  <c r="S32" i="71"/>
  <c r="E30" i="71"/>
  <c r="E31" i="71"/>
  <c r="E32" i="71"/>
  <c r="U32" i="71"/>
  <c r="B39" i="71"/>
  <c r="B40" i="71"/>
  <c r="S40" i="71"/>
  <c r="E38" i="71"/>
  <c r="E39" i="71"/>
  <c r="E40" i="71"/>
  <c r="U40" i="71"/>
  <c r="N68" i="71"/>
  <c r="E34" i="71"/>
  <c r="C30" i="71"/>
  <c r="X31" i="71"/>
  <c r="C34" i="71"/>
  <c r="D34" i="71"/>
  <c r="X34" i="71"/>
  <c r="C38" i="71"/>
  <c r="D38" i="71"/>
  <c r="F51" i="71"/>
  <c r="F52" i="71"/>
  <c r="V52" i="71"/>
  <c r="Y27" i="71"/>
  <c r="Z27" i="71"/>
  <c r="B28" i="71"/>
  <c r="B27" i="71"/>
  <c r="B26" i="71"/>
  <c r="D30" i="71"/>
  <c r="C47" i="71"/>
  <c r="D47" i="71"/>
  <c r="D46" i="71"/>
  <c r="D50" i="71"/>
  <c r="P28" i="71"/>
  <c r="E28" i="71"/>
  <c r="U68" i="71"/>
  <c r="E67" i="71"/>
  <c r="Q28" i="71"/>
  <c r="C59" i="71"/>
  <c r="D58" i="71"/>
  <c r="C63" i="71"/>
  <c r="C64" i="71"/>
  <c r="D62" i="71"/>
  <c r="T68" i="71"/>
  <c r="O68" i="71"/>
  <c r="D68" i="71"/>
  <c r="C67" i="71"/>
  <c r="D67" i="71"/>
  <c r="Q68" i="71"/>
  <c r="E71" i="71"/>
  <c r="E70" i="71"/>
  <c r="D72" i="71"/>
  <c r="C75" i="71"/>
  <c r="D76" i="71"/>
  <c r="E79" i="71"/>
  <c r="E78" i="71"/>
  <c r="D80" i="71"/>
  <c r="C87" i="71"/>
  <c r="C86" i="71"/>
  <c r="D86" i="71"/>
  <c r="S28" i="71"/>
  <c r="F28" i="71"/>
  <c r="F27" i="71"/>
  <c r="F26" i="71"/>
  <c r="AA3" i="71"/>
  <c r="C66" i="71"/>
  <c r="O65" i="71"/>
  <c r="O67" i="71"/>
  <c r="D63" i="71"/>
  <c r="D75" i="71"/>
  <c r="C74" i="71"/>
  <c r="D74" i="71"/>
  <c r="D87" i="71"/>
  <c r="C60" i="71"/>
  <c r="D59" i="71"/>
  <c r="P67" i="71"/>
  <c r="E66" i="71"/>
  <c r="P65" i="71"/>
  <c r="O66" i="71"/>
  <c r="D66"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57" i="43"/>
  <c r="C29" i="39"/>
  <c r="S25" i="40"/>
  <c r="S18" i="36"/>
  <c r="H25" i="40"/>
  <c r="AB25" i="40"/>
  <c r="J25" i="40"/>
  <c r="H29" i="39"/>
  <c r="AB29" i="39"/>
  <c r="J29" i="39"/>
  <c r="AC29" i="39"/>
  <c r="J18" i="36"/>
  <c r="AC18" i="36"/>
  <c r="H18" i="35"/>
  <c r="AB18" i="35"/>
  <c r="J18" i="35"/>
  <c r="W18" i="35"/>
  <c r="H21" i="37"/>
  <c r="AB21" i="37"/>
  <c r="F21" i="37"/>
  <c r="AA21" i="37"/>
  <c r="H21" i="34"/>
  <c r="AB21" i="34"/>
  <c r="H21" i="33"/>
  <c r="U21" i="33"/>
  <c r="F21" i="33"/>
  <c r="AA21" i="33"/>
  <c r="E83" i="21"/>
  <c r="F83" i="21"/>
  <c r="H1" i="69"/>
  <c r="AC25" i="40"/>
  <c r="W25" i="40"/>
  <c r="U29" i="39"/>
  <c r="W29" i="39"/>
  <c r="W18" i="36"/>
  <c r="U21" i="37"/>
  <c r="U21" i="34"/>
  <c r="AC18" i="35"/>
  <c r="J21" i="37"/>
  <c r="W21" i="37"/>
  <c r="J21" i="34"/>
  <c r="W21" i="34"/>
  <c r="J21" i="33"/>
  <c r="W21" i="33"/>
  <c r="H21" i="21"/>
  <c r="U21" i="21"/>
  <c r="F38" i="69"/>
  <c r="E37" i="69"/>
  <c r="F36" i="69"/>
  <c r="F35" i="69"/>
  <c r="F21" i="69"/>
  <c r="F40" i="69"/>
  <c r="F20" i="69"/>
  <c r="F39" i="69"/>
  <c r="E10" i="69"/>
  <c r="E9" i="69"/>
  <c r="AC21" i="37"/>
  <c r="AC21" i="33"/>
  <c r="G83" i="21"/>
  <c r="J21" i="21"/>
  <c r="F38" i="68"/>
  <c r="E37" i="68"/>
  <c r="F36" i="68"/>
  <c r="F35" i="68"/>
  <c r="F21" i="68"/>
  <c r="F40" i="68"/>
  <c r="C21" i="68"/>
  <c r="F20" i="68"/>
  <c r="F39" i="68"/>
  <c r="E10" i="68"/>
  <c r="E9" i="68"/>
  <c r="W21" i="21"/>
  <c r="AC21" i="21"/>
  <c r="C40" i="68"/>
  <c r="Q72" i="67"/>
  <c r="Q59" i="67"/>
  <c r="Q58" i="67"/>
  <c r="Q51" i="67"/>
  <c r="M47" i="67"/>
  <c r="D46" i="67"/>
  <c r="F33" i="67"/>
  <c r="F61" i="67"/>
  <c r="F23" i="67"/>
  <c r="D24" i="67"/>
  <c r="F21" i="67"/>
  <c r="F20" i="67"/>
  <c r="M19" i="67"/>
  <c r="F18" i="67"/>
  <c r="F17" i="67"/>
  <c r="F15" i="67"/>
  <c r="S2" i="4"/>
  <c r="C51" i="10"/>
  <c r="A13" i="51"/>
  <c r="B11" i="72"/>
  <c r="S1" i="4"/>
  <c r="A4" i="51"/>
  <c r="B6" i="72"/>
  <c r="B1" i="4"/>
  <c r="D1" i="43"/>
  <c r="B50" i="43"/>
  <c r="B86" i="43"/>
  <c r="B85" i="43"/>
  <c r="B74" i="43"/>
  <c r="B63" i="43"/>
  <c r="B52" i="43"/>
  <c r="M90" i="43"/>
  <c r="N90" i="43"/>
  <c r="K90" i="43"/>
  <c r="N89" i="43"/>
  <c r="K89" i="43"/>
  <c r="M88" i="43"/>
  <c r="N88" i="43"/>
  <c r="K88" i="43"/>
  <c r="N87" i="43"/>
  <c r="K87" i="43"/>
  <c r="M86" i="43"/>
  <c r="N86" i="43"/>
  <c r="M85" i="43"/>
  <c r="N85" i="43"/>
  <c r="M84" i="43"/>
  <c r="N84" i="43"/>
  <c r="K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AZ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AZ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AZ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L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G15" i="4"/>
  <c r="F12" i="1"/>
  <c r="G12" i="1"/>
  <c r="F15" i="4"/>
  <c r="F11" i="1"/>
  <c r="G11" i="1"/>
  <c r="D15" i="4"/>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R5"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5" i="3"/>
  <c r="G29" i="6"/>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B5" i="3"/>
  <c r="BC13" i="3"/>
  <c r="BD13" i="3"/>
  <c r="BE13" i="3"/>
  <c r="BF13" i="3"/>
  <c r="BF5" i="3"/>
  <c r="BG13" i="3"/>
  <c r="BH13" i="3"/>
  <c r="BI13" i="3"/>
  <c r="BI5"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A576" i="3"/>
  <c r="BF576" i="3"/>
  <c r="BG576" i="3"/>
  <c r="BH576" i="3"/>
  <c r="BI576" i="3"/>
  <c r="BJ576" i="3"/>
  <c r="BK576" i="3"/>
  <c r="BM576" i="3"/>
  <c r="BN576" i="3"/>
  <c r="BO576" i="3"/>
  <c r="BP576" i="3"/>
  <c r="BQ576" i="3"/>
  <c r="BR576" i="3"/>
  <c r="BS576" i="3"/>
  <c r="BT576" i="3"/>
  <c r="H577" i="3"/>
  <c r="AC577" i="3"/>
  <c r="BB577" i="3"/>
  <c r="BC577" i="3"/>
  <c r="BD577" i="3"/>
  <c r="BE577" i="3"/>
  <c r="BA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L582" i="3"/>
  <c r="BN582" i="3"/>
  <c r="BO582" i="3"/>
  <c r="BP582" i="3"/>
  <c r="BQ582" i="3"/>
  <c r="BR582" i="3"/>
  <c r="BS582" i="3"/>
  <c r="BT582" i="3"/>
  <c r="H583" i="3"/>
  <c r="G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c r="BF584" i="3"/>
  <c r="BG584" i="3"/>
  <c r="BH584" i="3"/>
  <c r="BI584" i="3"/>
  <c r="BJ584" i="3"/>
  <c r="BK584" i="3"/>
  <c r="BM584" i="3"/>
  <c r="BN584" i="3"/>
  <c r="BO584" i="3"/>
  <c r="BP584" i="3"/>
  <c r="BQ584" i="3"/>
  <c r="BR584" i="3"/>
  <c r="BS584" i="3"/>
  <c r="BT584" i="3"/>
  <c r="H7" i="12"/>
  <c r="I7" i="12"/>
  <c r="J7" i="12"/>
  <c r="K7" i="12"/>
  <c r="H111" i="21"/>
  <c r="B109" i="39"/>
  <c r="H35"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H12" i="40"/>
  <c r="AB12" i="40"/>
  <c r="M74" i="40"/>
  <c r="L74" i="40"/>
  <c r="K74" i="40"/>
  <c r="J74" i="40"/>
  <c r="I74" i="40"/>
  <c r="H74" i="40"/>
  <c r="G74" i="40"/>
  <c r="F74" i="40"/>
  <c r="E74" i="40"/>
  <c r="D74" i="40"/>
  <c r="C74" i="40"/>
  <c r="P43" i="40"/>
  <c r="P42" i="40"/>
  <c r="V41" i="40"/>
  <c r="T41" i="40"/>
  <c r="R41" i="40"/>
  <c r="P41" i="40"/>
  <c r="Q40" i="40"/>
  <c r="Z40" i="40"/>
  <c r="Q39" i="40"/>
  <c r="Z39" i="40"/>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D106" i="39"/>
  <c r="E106" i="39"/>
  <c r="D104" i="39"/>
  <c r="E104" i="39"/>
  <c r="F104" i="39"/>
  <c r="G104" i="39"/>
  <c r="H104" i="39"/>
  <c r="I104" i="39"/>
  <c r="J104" i="39"/>
  <c r="K104" i="39"/>
  <c r="L104" i="39"/>
  <c r="M104" i="39"/>
  <c r="D100" i="39"/>
  <c r="E100" i="39"/>
  <c r="F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J13" i="37"/>
  <c r="W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H25" i="36"/>
  <c r="B73" i="36"/>
  <c r="B71" i="36"/>
  <c r="H23" i="36"/>
  <c r="D70" i="36"/>
  <c r="H22" i="36"/>
  <c r="AB22" i="36"/>
  <c r="D68" i="36"/>
  <c r="E68" i="36"/>
  <c r="F68" i="36"/>
  <c r="G68" i="36"/>
  <c r="D64" i="36"/>
  <c r="E64" i="36"/>
  <c r="F64" i="36"/>
  <c r="G64" i="36"/>
  <c r="J16" i="36"/>
  <c r="W16" i="36"/>
  <c r="D62" i="36"/>
  <c r="E62" i="36"/>
  <c r="F62" i="36"/>
  <c r="G62" i="36"/>
  <c r="B59" i="36"/>
  <c r="F13"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E89" i="35"/>
  <c r="M90" i="35"/>
  <c r="L90" i="35"/>
  <c r="K90" i="35"/>
  <c r="J90" i="35"/>
  <c r="I90" i="35"/>
  <c r="H90" i="35"/>
  <c r="G90" i="35"/>
  <c r="F90" i="35"/>
  <c r="E90" i="35"/>
  <c r="D90" i="35"/>
  <c r="C90" i="35"/>
  <c r="F85" i="35"/>
  <c r="E85" i="35"/>
  <c r="D85" i="35"/>
  <c r="C85" i="35"/>
  <c r="J27" i="35"/>
  <c r="AC27" i="35"/>
  <c r="H27" i="35"/>
  <c r="U27" i="35"/>
  <c r="F27" i="35"/>
  <c r="AA27" i="35"/>
  <c r="J22" i="35"/>
  <c r="B101" i="35"/>
  <c r="H36" i="35"/>
  <c r="AB36" i="35"/>
  <c r="B99" i="35"/>
  <c r="B97" i="35"/>
  <c r="B77" i="35"/>
  <c r="J25" i="35"/>
  <c r="B75" i="35"/>
  <c r="J24" i="35"/>
  <c r="AC24" i="35"/>
  <c r="B73" i="35"/>
  <c r="J23" i="35"/>
  <c r="AC23" i="35"/>
  <c r="B57" i="35"/>
  <c r="B61" i="35"/>
  <c r="B59" i="35"/>
  <c r="B131" i="34"/>
  <c r="B129" i="34"/>
  <c r="B127" i="34"/>
  <c r="B99" i="34"/>
  <c r="J32" i="34"/>
  <c r="W32" i="34"/>
  <c r="B97" i="34"/>
  <c r="H31" i="34"/>
  <c r="B95" i="34"/>
  <c r="B93" i="34"/>
  <c r="B75" i="34"/>
  <c r="B73" i="34"/>
  <c r="B71" i="34"/>
  <c r="J12" i="34"/>
  <c r="W12" i="34"/>
  <c r="B130" i="33"/>
  <c r="B128" i="33"/>
  <c r="F45" i="33"/>
  <c r="B126" i="33"/>
  <c r="F44" i="33"/>
  <c r="B98" i="33"/>
  <c r="B96" i="33"/>
  <c r="B94" i="33"/>
  <c r="F29" i="33"/>
  <c r="S29"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F36" i="39"/>
  <c r="S36" i="39"/>
  <c r="H36" i="39"/>
  <c r="AB36"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U31" i="35"/>
  <c r="U34" i="35"/>
  <c r="F36" i="34"/>
  <c r="J35" i="34"/>
  <c r="U34" i="34"/>
  <c r="H39" i="33"/>
  <c r="AB39" i="33"/>
  <c r="S40" i="33"/>
  <c r="W33" i="33"/>
  <c r="W39" i="33"/>
  <c r="S27" i="35"/>
  <c r="F11" i="40"/>
  <c r="AA11" i="40"/>
  <c r="H11" i="40"/>
  <c r="AB11" i="40"/>
  <c r="W8" i="40"/>
  <c r="AA9" i="40"/>
  <c r="U9" i="40"/>
  <c r="S34" i="40"/>
  <c r="U34" i="40"/>
  <c r="F42" i="39"/>
  <c r="AA42" i="39"/>
  <c r="F41" i="39"/>
  <c r="S41" i="39"/>
  <c r="H40" i="39"/>
  <c r="AB40" i="39"/>
  <c r="H39" i="39"/>
  <c r="U39" i="39"/>
  <c r="S38" i="39"/>
  <c r="H34" i="39"/>
  <c r="U34" i="39"/>
  <c r="E108"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W32" i="40"/>
  <c r="F37" i="39"/>
  <c r="AA37" i="39"/>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AC36" i="34"/>
  <c r="H37" i="34"/>
  <c r="U37" i="34"/>
  <c r="H25" i="34"/>
  <c r="AB25" i="34"/>
  <c r="J25" i="34"/>
  <c r="AC25" i="34"/>
  <c r="F23" i="34"/>
  <c r="AA23" i="34"/>
  <c r="J19" i="34"/>
  <c r="AC19" i="34"/>
  <c r="F17" i="34"/>
  <c r="AA17" i="34"/>
  <c r="J17" i="34"/>
  <c r="W17" i="34"/>
  <c r="AB17"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J31" i="33"/>
  <c r="W31" i="33"/>
  <c r="H31" i="33"/>
  <c r="F31" i="33"/>
  <c r="H45" i="33"/>
  <c r="U45" i="33"/>
  <c r="J45" i="33"/>
  <c r="W45" i="33"/>
  <c r="AA45" i="33"/>
  <c r="J14" i="34"/>
  <c r="W14" i="34"/>
  <c r="F14" i="34"/>
  <c r="S14" i="34"/>
  <c r="H14" i="34"/>
  <c r="H30" i="34"/>
  <c r="F30" i="34"/>
  <c r="S30" i="34"/>
  <c r="J30" i="34"/>
  <c r="H32" i="34"/>
  <c r="F32" i="34"/>
  <c r="H46" i="34"/>
  <c r="U46" i="34"/>
  <c r="F46" i="34"/>
  <c r="J46" i="34"/>
  <c r="H11" i="35"/>
  <c r="AB11" i="35"/>
  <c r="J11" i="35"/>
  <c r="W11" i="35"/>
  <c r="F11" i="35"/>
  <c r="S11" i="35"/>
  <c r="J26" i="36"/>
  <c r="W26" i="36"/>
  <c r="H28" i="36"/>
  <c r="U28" i="36"/>
  <c r="J32" i="36"/>
  <c r="W32" i="36"/>
  <c r="J11" i="36"/>
  <c r="AC11" i="36"/>
  <c r="H11" i="36"/>
  <c r="U11" i="36"/>
  <c r="F11" i="36"/>
  <c r="AA11" i="36"/>
  <c r="H13" i="36"/>
  <c r="J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H30" i="33"/>
  <c r="AB30" i="33"/>
  <c r="F30" i="33"/>
  <c r="J30" i="33"/>
  <c r="H44" i="33"/>
  <c r="J44" i="33"/>
  <c r="W44" i="33"/>
  <c r="AC44" i="33"/>
  <c r="J46" i="33"/>
  <c r="AC46" i="33"/>
  <c r="F46" i="33"/>
  <c r="AA46" i="33"/>
  <c r="H46" i="33"/>
  <c r="AB46" i="33"/>
  <c r="H13" i="34"/>
  <c r="U13" i="34"/>
  <c r="J13" i="34"/>
  <c r="W13" i="34"/>
  <c r="F13" i="34"/>
  <c r="AA13" i="34"/>
  <c r="J29" i="34"/>
  <c r="F29" i="34"/>
  <c r="S29" i="34"/>
  <c r="H29" i="34"/>
  <c r="AB29" i="34"/>
  <c r="J31" i="34"/>
  <c r="AC31" i="34"/>
  <c r="F31" i="34"/>
  <c r="S31" i="34"/>
  <c r="H45" i="34"/>
  <c r="U45" i="34"/>
  <c r="J45" i="34"/>
  <c r="W45" i="34"/>
  <c r="F45" i="34"/>
  <c r="S45" i="34"/>
  <c r="H47" i="34"/>
  <c r="U47" i="34"/>
  <c r="F47" i="34"/>
  <c r="S47" i="34"/>
  <c r="J47" i="34"/>
  <c r="AC47" i="34"/>
  <c r="F13" i="35"/>
  <c r="J13" i="35"/>
  <c r="AC13" i="35"/>
  <c r="H13" i="35"/>
  <c r="U13" i="35"/>
  <c r="W25" i="35"/>
  <c r="H25" i="35"/>
  <c r="AB25" i="35"/>
  <c r="J35" i="35"/>
  <c r="AC35" i="35"/>
  <c r="F35" i="35"/>
  <c r="AA35" i="35"/>
  <c r="H35" i="35"/>
  <c r="J25" i="36"/>
  <c r="W25" i="36"/>
  <c r="F25" i="36"/>
  <c r="S25" i="36"/>
  <c r="AB25" i="36"/>
  <c r="H13" i="37"/>
  <c r="AB13" i="37"/>
  <c r="F13" i="37"/>
  <c r="S13" i="37"/>
  <c r="F28" i="37"/>
  <c r="AA28" i="37"/>
  <c r="J28" i="37"/>
  <c r="AC28" i="37"/>
  <c r="H28" i="37"/>
  <c r="H38" i="37"/>
  <c r="AB38" i="37"/>
  <c r="J38" i="37"/>
  <c r="AC38" i="37"/>
  <c r="F38" i="37"/>
  <c r="S38" i="37"/>
  <c r="F43" i="39"/>
  <c r="AA43" i="39"/>
  <c r="H43" i="39"/>
  <c r="J14" i="39"/>
  <c r="AC14" i="39"/>
  <c r="H14" i="39"/>
  <c r="F12" i="40"/>
  <c r="S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U46" i="33"/>
  <c r="J36" i="37"/>
  <c r="AC36" i="37"/>
  <c r="J10" i="36"/>
  <c r="AC10" i="36"/>
  <c r="AB30" i="21"/>
  <c r="W31" i="34"/>
  <c r="S11" i="36"/>
  <c r="AB46"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AZ560" i="3"/>
  <c r="BL554" i="3"/>
  <c r="BL546" i="3"/>
  <c r="BL542" i="3"/>
  <c r="BL538" i="3"/>
  <c r="AZ538" i="3"/>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BA578" i="3"/>
  <c r="BA574" i="3"/>
  <c r="AZ574" i="3"/>
  <c r="BA572" i="3"/>
  <c r="AZ572" i="3"/>
  <c r="BA570" i="3"/>
  <c r="BA568" i="3"/>
  <c r="BA566" i="3"/>
  <c r="AZ566" i="3"/>
  <c r="BA564" i="3"/>
  <c r="AZ564" i="3"/>
  <c r="BA562" i="3"/>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BA510" i="3"/>
  <c r="BA508" i="3"/>
  <c r="AZ508" i="3"/>
  <c r="BA506" i="3"/>
  <c r="BA504" i="3"/>
  <c r="AZ504" i="3"/>
  <c r="BA502" i="3"/>
  <c r="BA500" i="3"/>
  <c r="AZ500" i="3"/>
  <c r="BA498" i="3"/>
  <c r="AZ498" i="3"/>
  <c r="BA496" i="3"/>
  <c r="BA494" i="3"/>
  <c r="BA587" i="3"/>
  <c r="BA583" i="3"/>
  <c r="BA581" i="3"/>
  <c r="BA579" i="3"/>
  <c r="BA575" i="3"/>
  <c r="AZ575" i="3"/>
  <c r="BA573" i="3"/>
  <c r="BA571" i="3"/>
  <c r="BA569" i="3"/>
  <c r="BA567" i="3"/>
  <c r="BA565" i="3"/>
  <c r="BA563" i="3"/>
  <c r="BA561" i="3"/>
  <c r="BA559" i="3"/>
  <c r="AZ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3" i="3"/>
  <c r="G571" i="3"/>
  <c r="G569" i="3"/>
  <c r="G567" i="3"/>
  <c r="G565" i="3"/>
  <c r="G563" i="3"/>
  <c r="G561" i="3"/>
  <c r="BL558" i="3"/>
  <c r="BA557" i="3"/>
  <c r="AC557" i="3"/>
  <c r="G557" i="3"/>
  <c r="BQ557" i="3"/>
  <c r="BL557" i="3"/>
  <c r="BQ583" i="3"/>
  <c r="BQ581" i="3"/>
  <c r="BL581" i="3"/>
  <c r="BQ579" i="3"/>
  <c r="BQ577" i="3"/>
  <c r="BL577" i="3"/>
  <c r="AZ577" i="3"/>
  <c r="BQ575" i="3"/>
  <c r="BL575" i="3"/>
  <c r="BQ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BQ529" i="3"/>
  <c r="BL529" i="3"/>
  <c r="BQ527" i="3"/>
  <c r="BL527" i="3"/>
  <c r="BQ525" i="3"/>
  <c r="BL525" i="3"/>
  <c r="AZ525" i="3"/>
  <c r="BQ523" i="3"/>
  <c r="BL523" i="3"/>
  <c r="BA521" i="3"/>
  <c r="AC521" i="3"/>
  <c r="AC5"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AZ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J41" i="34"/>
  <c r="AC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H42" i="33"/>
  <c r="AB42" i="33"/>
  <c r="J43" i="33"/>
  <c r="AC43" i="33"/>
  <c r="S28" i="31"/>
  <c r="S27" i="31"/>
  <c r="S26" i="31"/>
  <c r="U14" i="40"/>
  <c r="W23" i="35"/>
  <c r="U26" i="37"/>
  <c r="W47" i="34"/>
  <c r="AA13" i="33"/>
  <c r="AC31" i="33"/>
  <c r="AC45"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F88" i="40"/>
  <c r="G88" i="40"/>
  <c r="F19" i="40"/>
  <c r="AC13" i="40"/>
  <c r="AB33" i="40"/>
  <c r="W23" i="39"/>
  <c r="AC43" i="39"/>
  <c r="W43"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514" i="3"/>
  <c r="AZ522" i="3"/>
  <c r="AZ530" i="3"/>
  <c r="G546" i="3"/>
  <c r="G524" i="3"/>
  <c r="G303" i="3"/>
  <c r="BL304" i="3"/>
  <c r="G305" i="3"/>
  <c r="BL306" i="3"/>
  <c r="AZ306" i="3"/>
  <c r="BA308" i="3"/>
  <c r="AZ308" i="3"/>
  <c r="BA309" i="3"/>
  <c r="AZ309" i="3"/>
  <c r="BL309" i="3"/>
  <c r="G310" i="3"/>
  <c r="BA311" i="3"/>
  <c r="G319" i="3"/>
  <c r="BL320" i="3"/>
  <c r="G321" i="3"/>
  <c r="BL322" i="3"/>
  <c r="BA324" i="3"/>
  <c r="BA325" i="3"/>
  <c r="BL325" i="3"/>
  <c r="AZ325" i="3"/>
  <c r="G326" i="3"/>
  <c r="BA327" i="3"/>
  <c r="AZ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c r="BL136" i="3"/>
  <c r="G137" i="3"/>
  <c r="BA139" i="3"/>
  <c r="BL140" i="3"/>
  <c r="AZ140" i="3"/>
  <c r="G141" i="3"/>
  <c r="BA143" i="3"/>
  <c r="BL144" i="3"/>
  <c r="G145" i="3"/>
  <c r="BA147" i="3"/>
  <c r="BL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52" i="3"/>
  <c r="AZ168" i="3"/>
  <c r="G534" i="3"/>
  <c r="G530" i="3"/>
  <c r="G522" i="3"/>
  <c r="G516" i="3"/>
  <c r="G512" i="3"/>
  <c r="G506" i="3"/>
  <c r="G498" i="3"/>
  <c r="G494" i="3"/>
  <c r="G16" i="3"/>
  <c r="G15" i="3"/>
  <c r="BA304" i="3"/>
  <c r="BA305" i="3"/>
  <c r="AZ305" i="3"/>
  <c r="BL305" i="3"/>
  <c r="G306" i="3"/>
  <c r="G309" i="3"/>
  <c r="BL310" i="3"/>
  <c r="AZ310" i="3"/>
  <c r="BA312" i="3"/>
  <c r="BA313" i="3"/>
  <c r="BL313" i="3"/>
  <c r="G314" i="3"/>
  <c r="G317" i="3"/>
  <c r="BL318" i="3"/>
  <c r="BA320" i="3"/>
  <c r="AZ320" i="3"/>
  <c r="BA321" i="3"/>
  <c r="BL321" i="3"/>
  <c r="G322" i="3"/>
  <c r="G325" i="3"/>
  <c r="BL326" i="3"/>
  <c r="BA328" i="3"/>
  <c r="BA329" i="3"/>
  <c r="BL329" i="3"/>
  <c r="G330" i="3"/>
  <c r="G333" i="3"/>
  <c r="BL334" i="3"/>
  <c r="BA336" i="3"/>
  <c r="AZ336" i="3"/>
  <c r="BA337" i="3"/>
  <c r="AZ337" i="3"/>
  <c r="BL337" i="3"/>
  <c r="G338" i="3"/>
  <c r="G341" i="3"/>
  <c r="BA342" i="3"/>
  <c r="BL342" i="3"/>
  <c r="AZ342" i="3"/>
  <c r="BA344" i="3"/>
  <c r="AZ344" i="3"/>
  <c r="BL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4" i="3"/>
  <c r="AZ194" i="3"/>
  <c r="BA16" i="3"/>
  <c r="AZ16" i="3"/>
  <c r="BL303" i="3"/>
  <c r="G304" i="3"/>
  <c r="BA306" i="3"/>
  <c r="BL307" i="3"/>
  <c r="G308" i="3"/>
  <c r="BA310" i="3"/>
  <c r="BL311" i="3"/>
  <c r="AZ311" i="3"/>
  <c r="G312" i="3"/>
  <c r="BA314" i="3"/>
  <c r="BL315" i="3"/>
  <c r="G316" i="3"/>
  <c r="BA318" i="3"/>
  <c r="AZ318" i="3"/>
  <c r="BL319" i="3"/>
  <c r="AZ319" i="3"/>
  <c r="G320" i="3"/>
  <c r="BA322" i="3"/>
  <c r="BL323" i="3"/>
  <c r="G324" i="3"/>
  <c r="BA326" i="3"/>
  <c r="AZ326" i="3"/>
  <c r="BL327" i="3"/>
  <c r="G328" i="3"/>
  <c r="BA330" i="3"/>
  <c r="BL331" i="3"/>
  <c r="G332" i="3"/>
  <c r="BA334" i="3"/>
  <c r="AZ334" i="3"/>
  <c r="BL335" i="3"/>
  <c r="G336" i="3"/>
  <c r="BA338" i="3"/>
  <c r="BL339" i="3"/>
  <c r="G340" i="3"/>
  <c r="BL343" i="3"/>
  <c r="G344" i="3"/>
  <c r="G348" i="3"/>
  <c r="G355" i="3"/>
  <c r="G342" i="3"/>
  <c r="BL345" i="3"/>
  <c r="AZ345" i="3"/>
  <c r="G346" i="3"/>
  <c r="BL349" i="3"/>
  <c r="AZ349" i="3"/>
  <c r="BL352" i="3"/>
  <c r="G353" i="3"/>
  <c r="BA357" i="3"/>
  <c r="BL358" i="3"/>
  <c r="AZ358" i="3"/>
  <c r="G359" i="3"/>
  <c r="BA361" i="3"/>
  <c r="AZ361" i="3"/>
  <c r="BL362" i="3"/>
  <c r="G363" i="3"/>
  <c r="BA365" i="3"/>
  <c r="AZ365" i="3"/>
  <c r="BL366" i="3"/>
  <c r="G367" i="3"/>
  <c r="BA369" i="3"/>
  <c r="AZ369" i="3"/>
  <c r="BL370" i="3"/>
  <c r="G371" i="3"/>
  <c r="BA373" i="3"/>
  <c r="AZ373" i="3"/>
  <c r="BL374" i="3"/>
  <c r="G375" i="3"/>
  <c r="BA377" i="3"/>
  <c r="AZ377" i="3"/>
  <c r="BA379" i="3"/>
  <c r="AZ379" i="3"/>
  <c r="BL380" i="3"/>
  <c r="G381" i="3"/>
  <c r="BA383" i="3"/>
  <c r="BL384" i="3"/>
  <c r="G385" i="3"/>
  <c r="BA387" i="3"/>
  <c r="BL388" i="3"/>
  <c r="G389" i="3"/>
  <c r="BA391" i="3"/>
  <c r="AZ391" i="3"/>
  <c r="BL392" i="3"/>
  <c r="G393" i="3"/>
  <c r="BM5" i="3"/>
  <c r="BH5" i="3"/>
  <c r="BD5" i="3"/>
  <c r="AZ506" i="3"/>
  <c r="AZ496" i="3"/>
  <c r="G548" i="3"/>
  <c r="G538" i="3"/>
  <c r="G520" i="3"/>
  <c r="G502" i="3"/>
  <c r="BS5" i="3"/>
  <c r="BP5" i="3"/>
  <c r="BK5" i="3"/>
  <c r="BG5" i="3"/>
  <c r="BE5" i="3"/>
  <c r="BC5" i="3"/>
  <c r="G17" i="3"/>
  <c r="BA17" i="3"/>
  <c r="BT5" i="3"/>
  <c r="BA15" i="3"/>
  <c r="AZ392" i="3"/>
  <c r="AZ499" i="3"/>
  <c r="AZ509" i="3"/>
  <c r="G509" i="3"/>
  <c r="BL493" i="3"/>
  <c r="AZ493" i="3"/>
  <c r="U36" i="40"/>
  <c r="F83" i="43"/>
  <c r="H85" i="43"/>
  <c r="F50" i="43"/>
  <c r="H54" i="43"/>
  <c r="F72" i="43"/>
  <c r="H75" i="43"/>
  <c r="U17" i="39"/>
  <c r="S14" i="35"/>
  <c r="U43" i="21"/>
  <c r="U35" i="21"/>
  <c r="AC35" i="21"/>
  <c r="AC11" i="39"/>
  <c r="AZ563" i="3"/>
  <c r="AZ501" i="3"/>
  <c r="W37" i="37"/>
  <c r="W44" i="34"/>
  <c r="AC44" i="34"/>
  <c r="S15"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C40" i="11"/>
  <c r="AZ248" i="3"/>
  <c r="AZ259" i="3"/>
  <c r="AZ13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W27" i="34"/>
  <c r="AC27" i="34"/>
  <c r="AB33" i="36"/>
  <c r="U33" i="36"/>
  <c r="AC12" i="39"/>
  <c r="W12" i="39"/>
  <c r="AC39" i="40"/>
  <c r="W39" i="40"/>
  <c r="AZ586" i="3"/>
  <c r="W12" i="33"/>
  <c r="AC12" i="33"/>
  <c r="BL14" i="3"/>
  <c r="U30" i="33"/>
  <c r="AC13" i="34"/>
  <c r="AA47" i="34"/>
  <c r="W28" i="37"/>
  <c r="S19" i="39"/>
  <c r="F12" i="33"/>
  <c r="H12" i="39"/>
  <c r="AB12" i="39"/>
  <c r="F39" i="40"/>
  <c r="S39" i="40"/>
  <c r="BA14" i="3"/>
  <c r="AZ14" i="3"/>
  <c r="AZ250" i="3"/>
  <c r="AZ173" i="3"/>
  <c r="AZ181" i="3"/>
  <c r="B12" i="1"/>
  <c r="E12" i="1"/>
  <c r="B10" i="1"/>
  <c r="E10" i="1"/>
  <c r="K12" i="1"/>
  <c r="M12" i="1"/>
  <c r="S13" i="1"/>
  <c r="AR13" i="1"/>
  <c r="R13" i="1"/>
  <c r="C24" i="12"/>
  <c r="AA34" i="33"/>
  <c r="AB37" i="40"/>
  <c r="S35" i="40"/>
  <c r="U35" i="40"/>
  <c r="AC36" i="40"/>
  <c r="AA32" i="40"/>
  <c r="S17" i="40"/>
  <c r="S23" i="40"/>
  <c r="AC17" i="40"/>
  <c r="AC15" i="40"/>
  <c r="AB27" i="40"/>
  <c r="S30" i="40"/>
  <c r="S28" i="40"/>
  <c r="AA27" i="40"/>
  <c r="U21" i="40"/>
  <c r="U37" i="39"/>
  <c r="S43" i="39"/>
  <c r="S37" i="39"/>
  <c r="F32" i="39"/>
  <c r="F106" i="39"/>
  <c r="G106" i="39"/>
  <c r="H106" i="39"/>
  <c r="I106" i="39"/>
  <c r="J106" i="39"/>
  <c r="K106" i="39"/>
  <c r="L106" i="39"/>
  <c r="M106" i="39"/>
  <c r="U25" i="39"/>
  <c r="AB27" i="39"/>
  <c r="U31" i="39"/>
  <c r="J21" i="39"/>
  <c r="W21" i="39"/>
  <c r="F21" i="39"/>
  <c r="G94" i="39"/>
  <c r="H21" i="39"/>
  <c r="W19" i="39"/>
  <c r="U19" i="39"/>
  <c r="S17" i="39"/>
  <c r="AA12" i="39"/>
  <c r="S9" i="39"/>
  <c r="AC13" i="39"/>
  <c r="U12" i="39"/>
  <c r="S23" i="36"/>
  <c r="U26" i="36"/>
  <c r="S33" i="36"/>
  <c r="AA26" i="36"/>
  <c r="AA34" i="36"/>
  <c r="AC26" i="36"/>
  <c r="AA22" i="36"/>
  <c r="W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U29" i="37"/>
  <c r="AB31" i="37"/>
  <c r="W30" i="37"/>
  <c r="S36" i="37"/>
  <c r="AA38" i="37"/>
  <c r="U32" i="37"/>
  <c r="W38" i="37"/>
  <c r="AC35" i="37"/>
  <c r="S30"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F87" i="33"/>
  <c r="G87" i="33"/>
  <c r="H87" i="33"/>
  <c r="I87" i="33"/>
  <c r="J87" i="33"/>
  <c r="K87" i="33"/>
  <c r="L87" i="33"/>
  <c r="M87" i="33"/>
  <c r="H25" i="33"/>
  <c r="U25" i="33"/>
  <c r="F25" i="33"/>
  <c r="J23" i="33"/>
  <c r="AC23" i="33"/>
  <c r="F85" i="33"/>
  <c r="H23" i="33"/>
  <c r="AB23" i="33"/>
  <c r="F81" i="33"/>
  <c r="F19" i="33"/>
  <c r="S19" i="33"/>
  <c r="W19" i="33"/>
  <c r="J17" i="33"/>
  <c r="W17" i="33"/>
  <c r="F79" i="33"/>
  <c r="G79" i="33"/>
  <c r="S15" i="33"/>
  <c r="W15" i="33"/>
  <c r="J10" i="33"/>
  <c r="W10" i="33"/>
  <c r="H10" i="33"/>
  <c r="U10" i="33"/>
  <c r="AC11" i="33"/>
  <c r="AB14" i="33"/>
  <c r="W43" i="21"/>
  <c r="W36" i="21"/>
  <c r="W41" i="21"/>
  <c r="AB39" i="21"/>
  <c r="AA43" i="21"/>
  <c r="S39" i="21"/>
  <c r="AA38" i="21"/>
  <c r="AA36" i="21"/>
  <c r="AC40" i="21"/>
  <c r="J15" i="21"/>
  <c r="AC15" i="21"/>
  <c r="F77" i="21"/>
  <c r="G77" i="21"/>
  <c r="F23" i="21"/>
  <c r="AA23" i="21"/>
  <c r="E85" i="21"/>
  <c r="AA14" i="21"/>
  <c r="D120" i="9"/>
  <c r="D121" i="9"/>
  <c r="D7" i="52"/>
  <c r="C18" i="9"/>
  <c r="D18" i="9"/>
  <c r="F34" i="67"/>
  <c r="F62" i="67"/>
  <c r="M20" i="67"/>
  <c r="F34" i="15"/>
  <c r="F62" i="15"/>
  <c r="G13" i="3"/>
  <c r="BL17" i="3"/>
  <c r="AZ17" i="3"/>
  <c r="BL13" i="3"/>
  <c r="J56" i="9"/>
  <c r="J57" i="9"/>
  <c r="J59" i="9"/>
  <c r="J61" i="9"/>
  <c r="A24" i="51"/>
  <c r="B18" i="72"/>
  <c r="U29" i="34"/>
  <c r="E32" i="6"/>
  <c r="E19" i="69"/>
  <c r="E19" i="68"/>
  <c r="E19" i="11"/>
  <c r="C6" i="43"/>
  <c r="B19" i="53"/>
  <c r="B37" i="72"/>
  <c r="C7" i="39"/>
  <c r="C67" i="39"/>
  <c r="C7" i="35"/>
  <c r="C48" i="35"/>
  <c r="D48" i="35"/>
  <c r="C7" i="33"/>
  <c r="C7" i="21"/>
  <c r="C7" i="40"/>
  <c r="C63" i="40"/>
  <c r="M47" i="9"/>
  <c r="L20" i="6"/>
  <c r="B6" i="1"/>
  <c r="E6" i="1"/>
  <c r="K11" i="1"/>
  <c r="M11" i="1"/>
  <c r="O11" i="1"/>
  <c r="B9" i="1"/>
  <c r="E9"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S17" i="37"/>
  <c r="J19" i="37"/>
  <c r="W19" i="37"/>
  <c r="G75" i="37"/>
  <c r="AA19" i="37"/>
  <c r="J23" i="37"/>
  <c r="W23" i="37"/>
  <c r="G79" i="37"/>
  <c r="J10" i="37"/>
  <c r="W10" i="37"/>
  <c r="G63" i="37"/>
  <c r="H63" i="37"/>
  <c r="I63" i="37"/>
  <c r="H11" i="37"/>
  <c r="AB11" i="37"/>
  <c r="G70" i="34"/>
  <c r="H11" i="34"/>
  <c r="U11" i="34"/>
  <c r="J10" i="34"/>
  <c r="AC10" i="34"/>
  <c r="AB41" i="33"/>
  <c r="U41" i="33"/>
  <c r="H111" i="33"/>
  <c r="I111" i="33"/>
  <c r="J111" i="33"/>
  <c r="K111" i="33"/>
  <c r="L111" i="33"/>
  <c r="M111" i="33"/>
  <c r="J36" i="33"/>
  <c r="W36" i="33"/>
  <c r="H36" i="33"/>
  <c r="U36" i="33"/>
  <c r="S36" i="33"/>
  <c r="AC32" i="33"/>
  <c r="W32" i="33"/>
  <c r="U27" i="33"/>
  <c r="AB27" i="33"/>
  <c r="G91" i="33"/>
  <c r="H91" i="33"/>
  <c r="I91" i="33"/>
  <c r="J91" i="33"/>
  <c r="K91" i="33"/>
  <c r="L91" i="33"/>
  <c r="M91" i="33"/>
  <c r="J27" i="33"/>
  <c r="W27" i="33"/>
  <c r="S25" i="33"/>
  <c r="AA25" i="33"/>
  <c r="J25" i="33"/>
  <c r="AC25" i="33"/>
  <c r="F23" i="33"/>
  <c r="G85" i="33"/>
  <c r="H19" i="33"/>
  <c r="AB19" i="33"/>
  <c r="G81" i="33"/>
  <c r="H17" i="33"/>
  <c r="U17" i="33"/>
  <c r="F17" i="33"/>
  <c r="S17" i="33"/>
  <c r="S37" i="21"/>
  <c r="AB15" i="21"/>
  <c r="J23" i="21"/>
  <c r="F85" i="21"/>
  <c r="G85" i="21"/>
  <c r="H23" i="21"/>
  <c r="S13" i="21"/>
  <c r="D6" i="52"/>
  <c r="AP7" i="1"/>
  <c r="AB45" i="21"/>
  <c r="AA32" i="21"/>
  <c r="S32" i="21"/>
  <c r="W9" i="21"/>
  <c r="AC9" i="21"/>
  <c r="AB32" i="21"/>
  <c r="U32" i="21"/>
  <c r="A18" i="62"/>
  <c r="B64" i="72"/>
  <c r="U32" i="39"/>
  <c r="AC32" i="39"/>
  <c r="J63" i="37"/>
  <c r="K63" i="37"/>
  <c r="L63" i="37"/>
  <c r="M63" i="37"/>
  <c r="J11" i="37"/>
  <c r="AC11" i="37"/>
  <c r="H70" i="34"/>
  <c r="I70" i="34"/>
  <c r="J70" i="34"/>
  <c r="K70" i="34"/>
  <c r="L70" i="34"/>
  <c r="M70" i="34"/>
  <c r="J11" i="34"/>
  <c r="W11" i="34"/>
  <c r="W25"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G7" i="1"/>
  <c r="D93" i="9"/>
  <c r="B41" i="1"/>
  <c r="F31" i="12"/>
  <c r="C31" i="12"/>
  <c r="F30" i="68"/>
  <c r="F48" i="68"/>
  <c r="F32" i="15"/>
  <c r="F60" i="15"/>
  <c r="F30" i="69"/>
  <c r="F48" i="69"/>
  <c r="F28" i="15"/>
  <c r="C28" i="15"/>
  <c r="F28" i="67"/>
  <c r="C28" i="67"/>
  <c r="C40" i="69"/>
  <c r="G26" i="12"/>
  <c r="G22" i="68"/>
  <c r="G22" i="69"/>
  <c r="G22" i="11"/>
  <c r="E1" i="73"/>
  <c r="G1" i="68"/>
  <c r="K1" i="12"/>
  <c r="G1" i="15"/>
  <c r="K7" i="1"/>
  <c r="O7" i="1"/>
  <c r="P7" i="1"/>
  <c r="K6" i="1"/>
  <c r="AP6" i="1"/>
  <c r="G1" i="67"/>
  <c r="G1" i="69"/>
  <c r="F29" i="6"/>
  <c r="BA13" i="3"/>
  <c r="S19" i="40"/>
  <c r="AA19" i="40"/>
  <c r="S25" i="21"/>
  <c r="AA25" i="21"/>
  <c r="G521" i="3"/>
  <c r="AZ557" i="3"/>
  <c r="AZ527" i="3"/>
  <c r="AZ571" i="3"/>
  <c r="AZ512" i="3"/>
  <c r="AZ570" i="3"/>
  <c r="AZ540" i="3"/>
  <c r="AA14" i="33"/>
  <c r="U13" i="36"/>
  <c r="AB13" i="36"/>
  <c r="U19" i="33"/>
  <c r="AC27" i="33"/>
  <c r="AC23" i="37"/>
  <c r="U9" i="21"/>
  <c r="AC17" i="33"/>
  <c r="AC35" i="33"/>
  <c r="AA23" i="37"/>
  <c r="W27" i="40"/>
  <c r="S23" i="21"/>
  <c r="W15" i="21"/>
  <c r="AZ387" i="3"/>
  <c r="AZ338" i="3"/>
  <c r="AZ390" i="3"/>
  <c r="AZ371" i="3"/>
  <c r="AZ351" i="3"/>
  <c r="AZ329" i="3"/>
  <c r="AZ304" i="3"/>
  <c r="AA14" i="37"/>
  <c r="S14" i="37"/>
  <c r="U23" i="33"/>
  <c r="AB25" i="33"/>
  <c r="U19" i="40"/>
  <c r="AB19" i="40"/>
  <c r="U41" i="34"/>
  <c r="AB41" i="34"/>
  <c r="AZ503" i="3"/>
  <c r="AZ513" i="3"/>
  <c r="AB14" i="39"/>
  <c r="U14" i="39"/>
  <c r="AC17" i="37"/>
  <c r="W17" i="21"/>
  <c r="AB36" i="33"/>
  <c r="AA19" i="33"/>
  <c r="S20" i="36"/>
  <c r="S43" i="34"/>
  <c r="S32" i="37"/>
  <c r="S15" i="39"/>
  <c r="AC34" i="33"/>
  <c r="AZ362" i="3"/>
  <c r="AZ380" i="3"/>
  <c r="AZ360" i="3"/>
  <c r="AA37" i="37"/>
  <c r="S37" i="37"/>
  <c r="AZ523" i="3"/>
  <c r="AZ494" i="3"/>
  <c r="AZ510" i="3"/>
  <c r="AZ552" i="3"/>
  <c r="AZ502" i="3"/>
  <c r="AB35" i="39"/>
  <c r="U35" i="39"/>
  <c r="BL579" i="3"/>
  <c r="AZ579" i="3"/>
  <c r="AZ576" i="3"/>
  <c r="W36" i="34"/>
  <c r="J35" i="39"/>
  <c r="AC35" i="39"/>
  <c r="B79" i="43"/>
  <c r="J26" i="33"/>
  <c r="F26" i="33"/>
  <c r="H26" i="33"/>
  <c r="AC9" i="34"/>
  <c r="W9" i="34"/>
  <c r="F12" i="35"/>
  <c r="J12" i="35"/>
  <c r="J12" i="36"/>
  <c r="F12" i="36"/>
  <c r="H12" i="36"/>
  <c r="F32" i="36"/>
  <c r="H32" i="36"/>
  <c r="H45" i="39"/>
  <c r="J45" i="39"/>
  <c r="W45" i="39"/>
  <c r="AB38" i="40"/>
  <c r="U38" i="40"/>
  <c r="AZ529" i="3"/>
  <c r="AZ537" i="3"/>
  <c r="AZ518" i="3"/>
  <c r="AZ546" i="3"/>
  <c r="AZ580" i="3"/>
  <c r="AB12" i="35"/>
  <c r="AB41" i="21"/>
  <c r="BL587" i="3"/>
  <c r="AZ587" i="3"/>
  <c r="AA38" i="33"/>
  <c r="S38" i="33"/>
  <c r="AA35" i="34"/>
  <c r="W27" i="35"/>
  <c r="U39" i="40"/>
  <c r="AB39" i="40"/>
  <c r="J12" i="40"/>
  <c r="H9" i="33"/>
  <c r="F9" i="33"/>
  <c r="AA9" i="33"/>
  <c r="AC22" i="35"/>
  <c r="W22" i="35"/>
  <c r="J24" i="36"/>
  <c r="H24" i="36"/>
  <c r="F24" i="36"/>
  <c r="AB30" i="37"/>
  <c r="U30" i="37"/>
  <c r="AC31" i="40"/>
  <c r="W31" i="40"/>
  <c r="AA31" i="35"/>
  <c r="S31" i="35"/>
  <c r="AC29" i="37"/>
  <c r="AB14" i="36"/>
  <c r="S11" i="40"/>
  <c r="U13" i="37"/>
  <c r="AZ357" i="3"/>
  <c r="AZ322" i="3"/>
  <c r="AZ328" i="3"/>
  <c r="AZ313" i="3"/>
  <c r="AZ394" i="3"/>
  <c r="S14" i="40"/>
  <c r="AZ519" i="3"/>
  <c r="AZ531" i="3"/>
  <c r="BL573" i="3"/>
  <c r="AZ573" i="3"/>
  <c r="BL583" i="3"/>
  <c r="AZ583" i="3"/>
  <c r="AZ568" i="3"/>
  <c r="AA14" i="34"/>
  <c r="F25" i="35"/>
  <c r="AC11" i="35"/>
  <c r="AB23" i="34"/>
  <c r="S44" i="39"/>
  <c r="U33" i="33"/>
  <c r="W28" i="35"/>
  <c r="F35" i="39"/>
  <c r="B97" i="43"/>
  <c r="B75" i="43"/>
  <c r="AB35" i="33"/>
  <c r="U35" i="33"/>
  <c r="S44" i="33"/>
  <c r="AA44" i="33"/>
  <c r="H23" i="35"/>
  <c r="AC28" i="36"/>
  <c r="W28" i="36"/>
  <c r="H34" i="36"/>
  <c r="J34" i="36"/>
  <c r="W34" i="36"/>
  <c r="J39" i="37"/>
  <c r="H39" i="37"/>
  <c r="F39" i="37"/>
  <c r="S39" i="37"/>
  <c r="H44" i="39"/>
  <c r="J44" i="39"/>
  <c r="AA34" i="39"/>
  <c r="J38" i="40"/>
  <c r="F38" i="40"/>
  <c r="U30" i="36"/>
  <c r="AB30" i="36"/>
  <c r="BL550" i="3"/>
  <c r="BL15" i="3"/>
  <c r="AZ15" i="3"/>
  <c r="BA398" i="3"/>
  <c r="BA399" i="3"/>
  <c r="AZ399" i="3"/>
  <c r="BL401" i="3"/>
  <c r="AZ401" i="3"/>
  <c r="BL404" i="3"/>
  <c r="BL405" i="3"/>
  <c r="BL407" i="3"/>
  <c r="AZ407" i="3"/>
  <c r="BA412" i="3"/>
  <c r="AZ412" i="3"/>
  <c r="BA414" i="3"/>
  <c r="BA415" i="3"/>
  <c r="BA416" i="3"/>
  <c r="AZ416" i="3"/>
  <c r="BA418" i="3"/>
  <c r="AZ418" i="3"/>
  <c r="BA421" i="3"/>
  <c r="BA423" i="3"/>
  <c r="AZ423" i="3"/>
  <c r="BA425" i="3"/>
  <c r="AZ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BA459" i="3"/>
  <c r="BA460" i="3"/>
  <c r="BA461" i="3"/>
  <c r="AZ461" i="3"/>
  <c r="BL464" i="3"/>
  <c r="AZ464" i="3"/>
  <c r="BL466" i="3"/>
  <c r="G468" i="3"/>
  <c r="G469" i="3"/>
  <c r="BL476" i="3"/>
  <c r="AZ476" i="3"/>
  <c r="BL477" i="3"/>
  <c r="BL478" i="3"/>
  <c r="BL480" i="3"/>
  <c r="AZ480" i="3"/>
  <c r="BA483" i="3"/>
  <c r="BL483" i="3"/>
  <c r="BA486" i="3"/>
  <c r="BL489" i="3"/>
  <c r="BL491" i="3"/>
  <c r="AZ491" i="3"/>
  <c r="BL492" i="3"/>
  <c r="BA331" i="3"/>
  <c r="AZ331" i="3"/>
  <c r="AZ404" i="3"/>
  <c r="AZ405" i="3"/>
  <c r="AZ419" i="3"/>
  <c r="AZ422" i="3"/>
  <c r="AZ444" i="3"/>
  <c r="AZ466" i="3"/>
  <c r="BL467" i="3"/>
  <c r="BL468" i="3"/>
  <c r="BL470" i="3"/>
  <c r="G472" i="3"/>
  <c r="G473" i="3"/>
  <c r="BL473" i="3"/>
  <c r="AZ473" i="3"/>
  <c r="BL474" i="3"/>
  <c r="G475" i="3"/>
  <c r="BA482" i="3"/>
  <c r="BA484" i="3"/>
  <c r="AZ484" i="3"/>
  <c r="BL367" i="3"/>
  <c r="BL383" i="3"/>
  <c r="AZ383" i="3"/>
  <c r="G587" i="3"/>
  <c r="F25" i="37"/>
  <c r="BA551" i="3"/>
  <c r="AZ551" i="3"/>
  <c r="BA550" i="3"/>
  <c r="AZ550" i="3"/>
  <c r="BL548" i="3"/>
  <c r="AZ548" i="3"/>
  <c r="G399" i="3"/>
  <c r="BL400" i="3"/>
  <c r="AZ400" i="3"/>
  <c r="BL408" i="3"/>
  <c r="BL411" i="3"/>
  <c r="BL413" i="3"/>
  <c r="AZ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L346" i="3"/>
  <c r="AZ346" i="3"/>
  <c r="G358" i="3"/>
  <c r="BA368" i="3"/>
  <c r="AZ368" i="3"/>
  <c r="BL368" i="3"/>
  <c r="BA374" i="3"/>
  <c r="AZ374" i="3"/>
  <c r="BA384" i="3"/>
  <c r="AZ384" i="3"/>
  <c r="BL585" i="3"/>
  <c r="AZ585"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3" i="3"/>
  <c r="BA446" i="3"/>
  <c r="BA450" i="3"/>
  <c r="BA453" i="3"/>
  <c r="BA455" i="3"/>
  <c r="AZ455" i="3"/>
  <c r="BL457" i="3"/>
  <c r="BL460" i="3"/>
  <c r="BL461" i="3"/>
  <c r="BL463" i="3"/>
  <c r="BA471" i="3"/>
  <c r="AZ471" i="3"/>
  <c r="BA315" i="3"/>
  <c r="AZ315" i="3"/>
  <c r="BL381" i="3"/>
  <c r="AZ381" i="3"/>
  <c r="G382" i="3"/>
  <c r="BL386" i="3"/>
  <c r="G387" i="3"/>
  <c r="BA388" i="3"/>
  <c r="AZ388" i="3"/>
  <c r="BA396" i="3"/>
  <c r="BA209" i="3"/>
  <c r="BL213" i="3"/>
  <c r="BL215" i="3"/>
  <c r="BA222" i="3"/>
  <c r="AZ222" i="3"/>
  <c r="BA224" i="3"/>
  <c r="AZ224" i="3"/>
  <c r="BA226" i="3"/>
  <c r="BA237" i="3"/>
  <c r="AZ237" i="3"/>
  <c r="BL240" i="3"/>
  <c r="AZ240" i="3"/>
  <c r="BA242" i="3"/>
  <c r="AZ242" i="3"/>
  <c r="BL245" i="3"/>
  <c r="AZ245" i="3"/>
  <c r="BL255" i="3"/>
  <c r="BL257" i="3"/>
  <c r="AZ257" i="3"/>
  <c r="BL258" i="3"/>
  <c r="BA262" i="3"/>
  <c r="AZ262" i="3"/>
  <c r="BA268" i="3"/>
  <c r="BA271" i="3"/>
  <c r="AZ271" i="3"/>
  <c r="BL271" i="3"/>
  <c r="BA274" i="3"/>
  <c r="BL274" i="3"/>
  <c r="BA276" i="3"/>
  <c r="BA284" i="3"/>
  <c r="BL286" i="3"/>
  <c r="AZ301" i="3"/>
  <c r="G491" i="3"/>
  <c r="BA303" i="3"/>
  <c r="AZ303" i="3"/>
  <c r="BA307" i="3"/>
  <c r="AZ307" i="3"/>
  <c r="G311" i="3"/>
  <c r="BL314" i="3"/>
  <c r="AZ314" i="3"/>
  <c r="G315" i="3"/>
  <c r="BA332" i="3"/>
  <c r="AZ332" i="3"/>
  <c r="BL332" i="3"/>
  <c r="G339" i="3"/>
  <c r="G364" i="3"/>
  <c r="BA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AZ238" i="3"/>
  <c r="BL243" i="3"/>
  <c r="AZ243" i="3"/>
  <c r="G244" i="3"/>
  <c r="BA247" i="3"/>
  <c r="BL247" i="3"/>
  <c r="BA249" i="3"/>
  <c r="AZ249" i="3"/>
  <c r="BL249" i="3"/>
  <c r="BA251" i="3"/>
  <c r="BL251" i="3"/>
  <c r="BA253" i="3"/>
  <c r="BL260" i="3"/>
  <c r="G262" i="3"/>
  <c r="BL263" i="3"/>
  <c r="AZ263" i="3"/>
  <c r="G264" i="3"/>
  <c r="BL266" i="3"/>
  <c r="BA269" i="3"/>
  <c r="AZ269" i="3"/>
  <c r="BL278" i="3"/>
  <c r="G280" i="3"/>
  <c r="BA282" i="3"/>
  <c r="BL282" i="3"/>
  <c r="BA288" i="3"/>
  <c r="BA290" i="3"/>
  <c r="G297" i="3"/>
  <c r="BL300" i="3"/>
  <c r="BA120" i="3"/>
  <c r="AZ120" i="3"/>
  <c r="G138" i="3"/>
  <c r="BA149" i="3"/>
  <c r="AZ149" i="3"/>
  <c r="BL198" i="3"/>
  <c r="AZ198" i="3"/>
  <c r="BL324" i="3"/>
  <c r="AZ324" i="3"/>
  <c r="BL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AZ241" i="3"/>
  <c r="BL241" i="3"/>
  <c r="BA244" i="3"/>
  <c r="BL244" i="3"/>
  <c r="BA246" i="3"/>
  <c r="BA252" i="3"/>
  <c r="AZ252" i="3"/>
  <c r="BA254" i="3"/>
  <c r="AZ254" i="3"/>
  <c r="BA256" i="3"/>
  <c r="BL256" i="3"/>
  <c r="BA258" i="3"/>
  <c r="BL264" i="3"/>
  <c r="BA267" i="3"/>
  <c r="AZ267" i="3"/>
  <c r="G270" i="3"/>
  <c r="BL270" i="3"/>
  <c r="AZ270" i="3"/>
  <c r="BA272" i="3"/>
  <c r="AZ272" i="3"/>
  <c r="BL275" i="3"/>
  <c r="AZ275" i="3"/>
  <c r="G277" i="3"/>
  <c r="BA281" i="3"/>
  <c r="BA286" i="3"/>
  <c r="BL287" i="3"/>
  <c r="BL290" i="3"/>
  <c r="BL291" i="3"/>
  <c r="AZ291" i="3"/>
  <c r="BL293" i="3"/>
  <c r="BL294" i="3"/>
  <c r="BA297" i="3"/>
  <c r="AZ297" i="3"/>
  <c r="BL297" i="3"/>
  <c r="BA148" i="3"/>
  <c r="AZ148" i="3"/>
  <c r="BA157" i="3"/>
  <c r="BA162" i="3"/>
  <c r="AZ162" i="3"/>
  <c r="BA177" i="3"/>
  <c r="AZ177" i="3"/>
  <c r="G25" i="3"/>
  <c r="BA27" i="3"/>
  <c r="G30" i="3"/>
  <c r="BL30" i="3"/>
  <c r="BL31" i="3"/>
  <c r="G35" i="3"/>
  <c r="G36" i="3"/>
  <c r="BA43" i="3"/>
  <c r="BL47" i="3"/>
  <c r="AZ47" i="3"/>
  <c r="BL54" i="3"/>
  <c r="BL55" i="3"/>
  <c r="AZ55" i="3"/>
  <c r="C55" i="71"/>
  <c r="D54" i="71"/>
  <c r="V24" i="71"/>
  <c r="E23" i="71"/>
  <c r="E22" i="71"/>
  <c r="E21" i="71"/>
  <c r="E20" i="71"/>
  <c r="BA116" i="3"/>
  <c r="AZ116" i="3"/>
  <c r="BA121" i="3"/>
  <c r="BL121" i="3"/>
  <c r="BA124" i="3"/>
  <c r="AZ124" i="3"/>
  <c r="BA126" i="3"/>
  <c r="BA129" i="3"/>
  <c r="BL133" i="3"/>
  <c r="AZ133" i="3"/>
  <c r="BL139" i="3"/>
  <c r="AZ139" i="3"/>
  <c r="BL141" i="3"/>
  <c r="BL143" i="3"/>
  <c r="AZ143" i="3"/>
  <c r="BL157" i="3"/>
  <c r="BL159" i="3"/>
  <c r="AZ159" i="3"/>
  <c r="BL177" i="3"/>
  <c r="BL183" i="3"/>
  <c r="AZ183" i="3"/>
  <c r="BA186" i="3"/>
  <c r="AZ186" i="3"/>
  <c r="BA190" i="3"/>
  <c r="BA197" i="3"/>
  <c r="BL201" i="3"/>
  <c r="AZ201" i="3"/>
  <c r="BL203" i="3"/>
  <c r="AZ203" i="3"/>
  <c r="BA204" i="3"/>
  <c r="AZ204" i="3"/>
  <c r="BA18" i="3"/>
  <c r="BL21" i="3"/>
  <c r="G23" i="3"/>
  <c r="BL48" i="3"/>
  <c r="BL56" i="3"/>
  <c r="BA61" i="3"/>
  <c r="AZ61" i="3"/>
  <c r="BA67" i="3"/>
  <c r="AZ67" i="3"/>
  <c r="BA68" i="3"/>
  <c r="BL70" i="3"/>
  <c r="N67" i="71"/>
  <c r="B66" i="71"/>
  <c r="F66" i="71"/>
  <c r="Q67" i="71"/>
  <c r="BL265" i="3"/>
  <c r="AZ265" i="3"/>
  <c r="G267" i="3"/>
  <c r="G269" i="3"/>
  <c r="BA273" i="3"/>
  <c r="AZ273" i="3"/>
  <c r="BA278" i="3"/>
  <c r="AZ278" i="3"/>
  <c r="BA280" i="3"/>
  <c r="AZ280" i="3"/>
  <c r="G283" i="3"/>
  <c r="BL283" i="3"/>
  <c r="AZ283" i="3"/>
  <c r="BL284" i="3"/>
  <c r="G285" i="3"/>
  <c r="G288" i="3"/>
  <c r="BL292" i="3"/>
  <c r="BA294" i="3"/>
  <c r="AZ294" i="3"/>
  <c r="BL295" i="3"/>
  <c r="BA298" i="3"/>
  <c r="AZ298" i="3"/>
  <c r="BL301" i="3"/>
  <c r="BL302" i="3"/>
  <c r="AZ302" i="3"/>
  <c r="BA114" i="3"/>
  <c r="BL123" i="3"/>
  <c r="AZ123" i="3"/>
  <c r="BA128" i="3"/>
  <c r="AZ128" i="3"/>
  <c r="BL134" i="3"/>
  <c r="BL137" i="3"/>
  <c r="AZ137" i="3"/>
  <c r="G143" i="3"/>
  <c r="BA146" i="3"/>
  <c r="AZ146" i="3"/>
  <c r="BA150" i="3"/>
  <c r="AZ150" i="3"/>
  <c r="G159" i="3"/>
  <c r="BL167" i="3"/>
  <c r="AZ167" i="3"/>
  <c r="G175" i="3"/>
  <c r="G176" i="3"/>
  <c r="BL178" i="3"/>
  <c r="BA180" i="3"/>
  <c r="AZ180" i="3"/>
  <c r="BL182" i="3"/>
  <c r="AZ182" i="3"/>
  <c r="G183" i="3"/>
  <c r="BA185" i="3"/>
  <c r="BL191" i="3"/>
  <c r="AZ191" i="3"/>
  <c r="BA193" i="3"/>
  <c r="BA196" i="3"/>
  <c r="AZ196" i="3"/>
  <c r="G203" i="3"/>
  <c r="BA205" i="3"/>
  <c r="AZ205" i="3"/>
  <c r="BL20" i="3"/>
  <c r="BA21" i="3"/>
  <c r="AZ21" i="3"/>
  <c r="BA25" i="3"/>
  <c r="AZ25" i="3"/>
  <c r="BA26" i="3"/>
  <c r="BL28" i="3"/>
  <c r="BA29" i="3"/>
  <c r="AZ29" i="3"/>
  <c r="BA36" i="3"/>
  <c r="BL38" i="3"/>
  <c r="AZ38" i="3"/>
  <c r="BA39" i="3"/>
  <c r="BA41" i="3"/>
  <c r="BA42" i="3"/>
  <c r="BL45" i="3"/>
  <c r="BA48" i="3"/>
  <c r="BA49" i="3"/>
  <c r="BL62" i="3"/>
  <c r="AZ62" i="3"/>
  <c r="BL63" i="3"/>
  <c r="BA65" i="3"/>
  <c r="AZ65" i="3"/>
  <c r="BL69" i="3"/>
  <c r="BA72" i="3"/>
  <c r="AZ72" i="3"/>
  <c r="BA73" i="3"/>
  <c r="D31" i="71"/>
  <c r="C32" i="71"/>
  <c r="C44" i="71"/>
  <c r="D43" i="71"/>
  <c r="C52" i="71"/>
  <c r="D51" i="71"/>
  <c r="BL113" i="3"/>
  <c r="BL115" i="3"/>
  <c r="AZ115" i="3"/>
  <c r="BA118" i="3"/>
  <c r="BL118" i="3"/>
  <c r="BA122" i="3"/>
  <c r="AZ122" i="3"/>
  <c r="BL125" i="3"/>
  <c r="AZ125" i="3"/>
  <c r="BL126" i="3"/>
  <c r="G130" i="3"/>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G191" i="3"/>
  <c r="BA192" i="3"/>
  <c r="AZ192" i="3"/>
  <c r="BL197" i="3"/>
  <c r="G198" i="3"/>
  <c r="BL199" i="3"/>
  <c r="AZ199" i="3"/>
  <c r="BA200" i="3"/>
  <c r="AZ200" i="3"/>
  <c r="BA202" i="3"/>
  <c r="BL207" i="3"/>
  <c r="BL18" i="3"/>
  <c r="G19" i="3"/>
  <c r="BL19" i="3"/>
  <c r="AZ19" i="3"/>
  <c r="BA20" i="3"/>
  <c r="AZ20" i="3"/>
  <c r="BL25" i="3"/>
  <c r="BL27" i="3"/>
  <c r="BA28" i="3"/>
  <c r="AZ28" i="3"/>
  <c r="BA31" i="3"/>
  <c r="AZ31" i="3"/>
  <c r="BA32" i="3"/>
  <c r="BA38" i="3"/>
  <c r="BL40" i="3"/>
  <c r="BL41" i="3"/>
  <c r="G51" i="3"/>
  <c r="BA52" i="3"/>
  <c r="AZ52" i="3"/>
  <c r="BA53" i="3"/>
  <c r="BA54" i="3"/>
  <c r="BL57" i="3"/>
  <c r="AZ70" i="3"/>
  <c r="BL79" i="3"/>
  <c r="BA59" i="3"/>
  <c r="AZ59" i="3"/>
  <c r="G61" i="3"/>
  <c r="BL61" i="3"/>
  <c r="G64" i="3"/>
  <c r="BA64" i="3"/>
  <c r="AZ64" i="3"/>
  <c r="G67" i="3"/>
  <c r="BL68" i="3"/>
  <c r="BA69" i="3"/>
  <c r="AZ69" i="3"/>
  <c r="G72" i="3"/>
  <c r="BL73" i="3"/>
  <c r="BA74" i="3"/>
  <c r="AZ74" i="3"/>
  <c r="BA75" i="3"/>
  <c r="G81" i="3"/>
  <c r="G85" i="3"/>
  <c r="BL85" i="3"/>
  <c r="BA86" i="3"/>
  <c r="AZ86" i="3"/>
  <c r="BA87" i="3"/>
  <c r="BA91" i="3"/>
  <c r="AZ91" i="3"/>
  <c r="G96" i="3"/>
  <c r="BL97" i="3"/>
  <c r="AZ97" i="3"/>
  <c r="BL101" i="3"/>
  <c r="BL102" i="3"/>
  <c r="G104" i="3"/>
  <c r="G105" i="3"/>
  <c r="BL106" i="3"/>
  <c r="BA108" i="3"/>
  <c r="AZ108" i="3"/>
  <c r="BA110" i="3"/>
  <c r="AZ110" i="3"/>
  <c r="F3" i="35"/>
  <c r="S21" i="33"/>
  <c r="S21" i="37"/>
  <c r="B77" i="43"/>
  <c r="AA18" i="35"/>
  <c r="AA28" i="71"/>
  <c r="AB27" i="71"/>
  <c r="E75" i="71"/>
  <c r="E74" i="71"/>
  <c r="AB25" i="71"/>
  <c r="X26" i="71"/>
  <c r="Y25" i="71"/>
  <c r="Z25" i="71"/>
  <c r="X38" i="71"/>
  <c r="C35" i="71"/>
  <c r="AB32" i="71"/>
  <c r="X33" i="71"/>
  <c r="AZ103" i="3"/>
  <c r="P66" i="71"/>
  <c r="AA27" i="71"/>
  <c r="AB26" i="71"/>
  <c r="C83" i="71"/>
  <c r="C79" i="71"/>
  <c r="C71" i="71"/>
  <c r="C39" i="71"/>
  <c r="X25" i="71"/>
  <c r="Y28" i="71"/>
  <c r="Z28" i="71"/>
  <c r="C28" i="71"/>
  <c r="Y37" i="71"/>
  <c r="Z37" i="71"/>
  <c r="X35" i="71"/>
  <c r="AA37" i="71"/>
  <c r="Y30" i="71"/>
  <c r="Z30" i="71"/>
  <c r="X28" i="71"/>
  <c r="X32" i="71"/>
  <c r="AA39" i="71"/>
  <c r="F75" i="71"/>
  <c r="F74" i="71"/>
  <c r="B79" i="71"/>
  <c r="B78" i="71"/>
  <c r="BL39" i="3"/>
  <c r="G43" i="3"/>
  <c r="G44" i="3"/>
  <c r="BA45" i="3"/>
  <c r="AZ45" i="3"/>
  <c r="BA46" i="3"/>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AZ88" i="3"/>
  <c r="G90" i="3"/>
  <c r="BL90" i="3"/>
  <c r="BL92" i="3"/>
  <c r="G101" i="3"/>
  <c r="BA101" i="3"/>
  <c r="AZ101" i="3"/>
  <c r="G108" i="3"/>
  <c r="G109" i="3"/>
  <c r="BL112" i="3"/>
  <c r="AB21" i="33"/>
  <c r="U25" i="40"/>
  <c r="S21" i="34"/>
  <c r="B68" i="43"/>
  <c r="B88" i="43"/>
  <c r="BL75" i="3"/>
  <c r="BL81" i="3"/>
  <c r="BA82" i="3"/>
  <c r="AZ82" i="3"/>
  <c r="BL83" i="3"/>
  <c r="BA90" i="3"/>
  <c r="BL94" i="3"/>
  <c r="AZ94" i="3"/>
  <c r="BA100" i="3"/>
  <c r="AZ100" i="3"/>
  <c r="BA102" i="3"/>
  <c r="AZ102" i="3"/>
  <c r="BL105" i="3"/>
  <c r="AZ105" i="3"/>
  <c r="BL107" i="3"/>
  <c r="BA111" i="3"/>
  <c r="AZ111" i="3"/>
  <c r="K13" i="1"/>
  <c r="M13" i="1"/>
  <c r="O13" i="1"/>
  <c r="P13" i="1"/>
  <c r="AB28" i="71"/>
  <c r="AB33" i="71"/>
  <c r="AA30" i="71"/>
  <c r="E35" i="71"/>
  <c r="E36" i="71"/>
  <c r="U36" i="71"/>
  <c r="AB31" i="71"/>
  <c r="AA36" i="71"/>
  <c r="B47" i="71"/>
  <c r="B48" i="71"/>
  <c r="S48" i="71"/>
  <c r="F9" i="1"/>
  <c r="G9" i="1"/>
  <c r="F10" i="1"/>
  <c r="G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G26" i="43"/>
  <c r="E29" i="6"/>
  <c r="K15" i="1"/>
  <c r="F30" i="6"/>
  <c r="G30" i="6"/>
  <c r="G31" i="6"/>
  <c r="E28" i="6"/>
  <c r="L19" i="6"/>
  <c r="L27" i="6"/>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21" i="69"/>
  <c r="J84" i="43"/>
  <c r="J85" i="43"/>
  <c r="J87" i="43"/>
  <c r="J88" i="43"/>
  <c r="J89" i="43"/>
  <c r="J90" i="43"/>
  <c r="D66" i="43"/>
  <c r="D64" i="43"/>
  <c r="D62" i="43"/>
  <c r="D67" i="43"/>
  <c r="D65" i="43"/>
  <c r="D63" i="43"/>
  <c r="D69" i="43"/>
  <c r="D73" i="43"/>
  <c r="D75" i="43"/>
  <c r="D79" i="43"/>
  <c r="D22" i="67"/>
  <c r="AQ13" i="1"/>
  <c r="E8" i="6"/>
  <c r="F27" i="6"/>
  <c r="E12" i="6"/>
  <c r="E57" i="40"/>
  <c r="E15" i="6"/>
  <c r="E64" i="39"/>
  <c r="E11" i="6"/>
  <c r="E60" i="39"/>
  <c r="E10" i="6"/>
  <c r="E13" i="6"/>
  <c r="P6" i="1"/>
  <c r="C13" i="12"/>
  <c r="P11" i="1"/>
  <c r="E59" i="40"/>
  <c r="K14"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D9" i="68"/>
  <c r="C9" i="68"/>
  <c r="G8" i="1"/>
  <c r="F52" i="9"/>
  <c r="F32" i="67"/>
  <c r="F60" i="67"/>
  <c r="F48" i="9"/>
  <c r="O52" i="9"/>
  <c r="M18" i="67"/>
  <c r="M18" i="15"/>
  <c r="F30" i="11"/>
  <c r="D68" i="9"/>
  <c r="F54" i="9"/>
  <c r="N370" i="46"/>
  <c r="J26" i="43"/>
  <c r="N94" i="46"/>
  <c r="E26" i="43"/>
  <c r="H26" i="43"/>
  <c r="F26" i="43"/>
  <c r="Q16" i="1"/>
  <c r="K16" i="1"/>
  <c r="H16" i="1"/>
  <c r="F31" i="15"/>
  <c r="F31" i="67"/>
  <c r="J7" i="36"/>
  <c r="G16" i="1"/>
  <c r="F10" i="39"/>
  <c r="S10" i="39"/>
  <c r="C40" i="71"/>
  <c r="D39" i="71"/>
  <c r="AZ190" i="3"/>
  <c r="AZ367" i="3"/>
  <c r="AZ429" i="3"/>
  <c r="AZ483" i="3"/>
  <c r="AZ459" i="3"/>
  <c r="AZ421" i="3"/>
  <c r="AZ414" i="3"/>
  <c r="AA38" i="40"/>
  <c r="S38" i="40"/>
  <c r="AB44" i="39"/>
  <c r="U44" i="39"/>
  <c r="U23" i="35"/>
  <c r="AB23" i="35"/>
  <c r="S24" i="36"/>
  <c r="AA24" i="36"/>
  <c r="W12" i="40"/>
  <c r="AC12" i="40"/>
  <c r="AA32" i="36"/>
  <c r="S32" i="36"/>
  <c r="W12" i="35"/>
  <c r="AC12" i="35"/>
  <c r="U26" i="33"/>
  <c r="AB26" i="33"/>
  <c r="T28" i="71"/>
  <c r="D28" i="71"/>
  <c r="U28" i="71"/>
  <c r="C27" i="71"/>
  <c r="C70" i="71"/>
  <c r="D70" i="71"/>
  <c r="D71" i="71"/>
  <c r="D44" i="71"/>
  <c r="T44" i="71"/>
  <c r="N65" i="71"/>
  <c r="N66" i="71"/>
  <c r="AZ457" i="3"/>
  <c r="W38" i="40"/>
  <c r="AC38" i="40"/>
  <c r="U34" i="36"/>
  <c r="AB34" i="36"/>
  <c r="S25" i="35"/>
  <c r="AA25" i="35"/>
  <c r="AB24" i="36"/>
  <c r="U24" i="36"/>
  <c r="AB12" i="36"/>
  <c r="U12" i="36"/>
  <c r="S26" i="33"/>
  <c r="AA26" i="33"/>
  <c r="D79" i="71"/>
  <c r="C78" i="71"/>
  <c r="D78" i="71"/>
  <c r="C36" i="71"/>
  <c r="D35" i="71"/>
  <c r="AZ75" i="3"/>
  <c r="AZ53" i="3"/>
  <c r="T32" i="71"/>
  <c r="D32" i="71"/>
  <c r="AZ49" i="3"/>
  <c r="AZ41" i="3"/>
  <c r="AZ121" i="3"/>
  <c r="AZ157" i="3"/>
  <c r="AZ256" i="3"/>
  <c r="AZ397" i="3"/>
  <c r="AZ251" i="3"/>
  <c r="AZ247" i="3"/>
  <c r="AZ229" i="3"/>
  <c r="AZ218" i="3"/>
  <c r="AZ274" i="3"/>
  <c r="AB39" i="37"/>
  <c r="U39" i="37"/>
  <c r="AC24" i="36"/>
  <c r="W24" i="36"/>
  <c r="AB9" i="33"/>
  <c r="U9" i="33"/>
  <c r="U45" i="39"/>
  <c r="AB45" i="39"/>
  <c r="S12" i="36"/>
  <c r="AA12" i="36"/>
  <c r="W26" i="33"/>
  <c r="AC26" i="33"/>
  <c r="G5" i="3"/>
  <c r="B3" i="3"/>
  <c r="E212" i="3"/>
  <c r="AZ79" i="3"/>
  <c r="D83" i="71"/>
  <c r="C82" i="71"/>
  <c r="D82" i="71"/>
  <c r="AZ27" i="3"/>
  <c r="AZ5" i="3"/>
  <c r="AZ178" i="3"/>
  <c r="AZ118" i="3"/>
  <c r="T52" i="71"/>
  <c r="D52" i="71"/>
  <c r="AZ39" i="3"/>
  <c r="AZ197" i="3"/>
  <c r="AZ126" i="3"/>
  <c r="C56" i="71"/>
  <c r="D55" i="71"/>
  <c r="AZ286" i="3"/>
  <c r="AZ244" i="3"/>
  <c r="AZ239" i="3"/>
  <c r="AZ282" i="3"/>
  <c r="AZ284" i="3"/>
  <c r="AZ453" i="3"/>
  <c r="AZ408" i="3"/>
  <c r="AA25" i="37"/>
  <c r="S25" i="37"/>
  <c r="AZ460" i="3"/>
  <c r="AZ415" i="3"/>
  <c r="AZ398" i="3"/>
  <c r="AC44" i="39"/>
  <c r="W44" i="39"/>
  <c r="AC39" i="37"/>
  <c r="W39" i="37"/>
  <c r="AA35" i="39"/>
  <c r="S35" i="39"/>
  <c r="AB32" i="36"/>
  <c r="U32" i="36"/>
  <c r="AC12" i="36"/>
  <c r="W12" i="36"/>
  <c r="J7" i="37"/>
  <c r="W7" i="37"/>
  <c r="K1" i="73"/>
  <c r="AL6" i="3"/>
  <c r="E408" i="3"/>
  <c r="E420" i="3"/>
  <c r="E16" i="3"/>
  <c r="L6" i="3"/>
  <c r="E38" i="3"/>
  <c r="E365" i="3"/>
  <c r="E48" i="3"/>
  <c r="E297" i="3"/>
  <c r="E187" i="3"/>
  <c r="E207" i="3"/>
  <c r="E547" i="3"/>
  <c r="E523" i="3"/>
  <c r="E481" i="3"/>
  <c r="E203" i="3"/>
  <c r="E334" i="3"/>
  <c r="E382" i="3"/>
  <c r="E85" i="3"/>
  <c r="E269" i="3"/>
  <c r="AR6" i="3"/>
  <c r="E261" i="3"/>
  <c r="E560" i="3"/>
  <c r="E273" i="3"/>
  <c r="AJ6" i="3"/>
  <c r="E263" i="3"/>
  <c r="AA26" i="37"/>
  <c r="S26" i="37"/>
  <c r="BA5" i="3"/>
  <c r="E27" i="6"/>
  <c r="K26" i="6"/>
  <c r="M26" i="6"/>
  <c r="I26" i="6"/>
  <c r="S26" i="6"/>
  <c r="C19" i="71"/>
  <c r="T20" i="71"/>
  <c r="D20" i="71"/>
  <c r="U20" i="71"/>
  <c r="E219" i="3"/>
  <c r="W40" i="40"/>
  <c r="AC40" i="40"/>
  <c r="AC12" i="21"/>
  <c r="W12" i="21"/>
  <c r="AB12" i="21"/>
  <c r="U12" i="21"/>
  <c r="AA27" i="34"/>
  <c r="S27" i="34"/>
  <c r="AC26" i="37"/>
  <c r="W26" i="37"/>
  <c r="BL5" i="3"/>
  <c r="B15" i="71"/>
  <c r="B14" i="71"/>
  <c r="B13" i="71"/>
  <c r="B12" i="71"/>
  <c r="S16" i="71"/>
  <c r="F7" i="36"/>
  <c r="H7" i="36"/>
  <c r="E94" i="3"/>
  <c r="AA9" i="36"/>
  <c r="S9" i="36"/>
  <c r="AA34" i="35"/>
  <c r="S34" i="35"/>
  <c r="E15" i="71"/>
  <c r="E14" i="71"/>
  <c r="E13" i="71"/>
  <c r="E12" i="71"/>
  <c r="V16" i="71"/>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E60" i="40"/>
  <c r="F31" i="6"/>
  <c r="E51" i="40"/>
  <c r="E16" i="6"/>
  <c r="E58" i="40"/>
  <c r="E62" i="39"/>
  <c r="M14" i="1"/>
  <c r="D5" i="43"/>
  <c r="C7" i="43"/>
  <c r="C5" i="43"/>
  <c r="D10" i="52"/>
  <c r="D125" i="9"/>
  <c r="D11" i="52"/>
  <c r="B7" i="74"/>
  <c r="C7" i="74"/>
  <c r="F67" i="39"/>
  <c r="F59" i="67"/>
  <c r="H7" i="37"/>
  <c r="AB7" i="37"/>
  <c r="T42" i="37"/>
  <c r="G42" i="37"/>
  <c r="H7" i="33"/>
  <c r="J7" i="33"/>
  <c r="D65" i="40"/>
  <c r="E63" i="40"/>
  <c r="F48" i="35"/>
  <c r="S7" i="36"/>
  <c r="AA7" i="36"/>
  <c r="R36" i="36"/>
  <c r="AC7" i="37"/>
  <c r="AB7" i="36"/>
  <c r="T36" i="36"/>
  <c r="G36" i="36"/>
  <c r="U7" i="36"/>
  <c r="F7" i="33"/>
  <c r="E58" i="21"/>
  <c r="AC7" i="36"/>
  <c r="V36" i="36"/>
  <c r="I36" i="36"/>
  <c r="W7" i="36"/>
  <c r="F7" i="37"/>
  <c r="M17" i="67"/>
  <c r="M17" i="15"/>
  <c r="P28" i="43"/>
  <c r="B66" i="40"/>
  <c r="P25" i="43"/>
  <c r="P29" i="43"/>
  <c r="P27" i="43"/>
  <c r="B70" i="39"/>
  <c r="AE11" i="1"/>
  <c r="AE9" i="1"/>
  <c r="AE8" i="1"/>
  <c r="AE12" i="1"/>
  <c r="AE10" i="1"/>
  <c r="C48" i="11"/>
  <c r="C30" i="11"/>
  <c r="D26" i="43"/>
  <c r="C25" i="43"/>
  <c r="F27" i="68"/>
  <c r="F28" i="12"/>
  <c r="C29" i="12"/>
  <c r="D28" i="12"/>
  <c r="E148" i="3"/>
  <c r="E106" i="3"/>
  <c r="E505" i="3"/>
  <c r="E239" i="3"/>
  <c r="E304" i="3"/>
  <c r="E136" i="3"/>
  <c r="E460" i="3"/>
  <c r="E543" i="3"/>
  <c r="E235" i="3"/>
  <c r="F27" i="11"/>
  <c r="C29" i="11"/>
  <c r="D27" i="11"/>
  <c r="E570" i="3"/>
  <c r="E368" i="3"/>
  <c r="E301" i="3"/>
  <c r="E331" i="3"/>
  <c r="E458" i="3"/>
  <c r="E551" i="3"/>
  <c r="E252" i="3"/>
  <c r="E303" i="3"/>
  <c r="E317" i="3"/>
  <c r="E474" i="3"/>
  <c r="E374" i="3"/>
  <c r="E24" i="3"/>
  <c r="E392" i="3"/>
  <c r="AH6" i="3"/>
  <c r="E428" i="3"/>
  <c r="E102" i="3"/>
  <c r="E233" i="3"/>
  <c r="E139" i="3"/>
  <c r="E278" i="3"/>
  <c r="E345" i="3"/>
  <c r="E568" i="3"/>
  <c r="E508" i="3"/>
  <c r="E111" i="3"/>
  <c r="E415" i="3"/>
  <c r="E581" i="3"/>
  <c r="E434" i="3"/>
  <c r="E328" i="3"/>
  <c r="E168" i="3"/>
  <c r="AD6" i="3"/>
  <c r="E500" i="3"/>
  <c r="E340" i="3"/>
  <c r="E108" i="3"/>
  <c r="E49" i="3"/>
  <c r="E173" i="3"/>
  <c r="E309" i="3"/>
  <c r="E369"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J10" i="39"/>
  <c r="W10" i="39"/>
  <c r="AA10" i="39"/>
  <c r="F10" i="40"/>
  <c r="S10" i="40"/>
  <c r="H10" i="39"/>
  <c r="U10" i="39"/>
  <c r="H10" i="40"/>
  <c r="AB10" i="40"/>
  <c r="J10" i="40"/>
  <c r="AC10" i="40"/>
  <c r="F59" i="15"/>
  <c r="AY6" i="3"/>
  <c r="AY473" i="3"/>
  <c r="E3" i="6"/>
  <c r="E67" i="3"/>
  <c r="E310" i="3"/>
  <c r="E267" i="3"/>
  <c r="E64" i="3"/>
  <c r="E409" i="3"/>
  <c r="E389" i="3"/>
  <c r="E241" i="3"/>
  <c r="E95" i="3"/>
  <c r="E417" i="3"/>
  <c r="E554" i="3"/>
  <c r="E449" i="3"/>
  <c r="E442" i="3"/>
  <c r="E575" i="3"/>
  <c r="E536" i="3"/>
  <c r="D56" i="71"/>
  <c r="T56"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c r="D27" i="71"/>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AY366" i="3"/>
  <c r="AY463" i="3"/>
  <c r="AY247" i="3"/>
  <c r="AY491" i="3"/>
  <c r="AY355" i="3"/>
  <c r="AY356" i="3"/>
  <c r="AY326" i="3"/>
  <c r="AY324" i="3"/>
  <c r="AY266" i="3"/>
  <c r="AY509" i="3"/>
  <c r="AY469" i="3"/>
  <c r="AY38" i="3"/>
  <c r="AY354" i="3"/>
  <c r="AY32" i="3"/>
  <c r="AY431" i="3"/>
  <c r="AY233" i="3"/>
  <c r="AY136" i="3"/>
  <c r="AY153" i="3"/>
  <c r="AY538" i="3"/>
  <c r="AY359" i="3"/>
  <c r="AY240" i="3"/>
  <c r="D3" i="21"/>
  <c r="E6" i="6"/>
  <c r="D37" i="11"/>
  <c r="D14" i="12"/>
  <c r="D17" i="12"/>
  <c r="C17" i="12"/>
  <c r="M18" i="9"/>
  <c r="B118" i="9"/>
  <c r="D3" i="34"/>
  <c r="D19" i="11"/>
  <c r="C19" i="11"/>
  <c r="L18" i="9"/>
  <c r="C17" i="4"/>
  <c r="B4" i="52"/>
  <c r="B43" i="72"/>
  <c r="D3" i="33"/>
  <c r="D3" i="37"/>
  <c r="C39" i="43"/>
  <c r="C42" i="43"/>
  <c r="E42" i="43"/>
  <c r="C38" i="43"/>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C47" i="11"/>
  <c r="D45" i="11"/>
  <c r="AY39" i="3"/>
  <c r="AY221" i="3"/>
  <c r="AY93" i="3"/>
  <c r="AY276" i="3"/>
  <c r="AY301" i="3"/>
  <c r="AY72" i="3"/>
  <c r="AY320" i="3"/>
  <c r="AY4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124" i="3"/>
  <c r="AY58" i="3"/>
  <c r="AY335" i="3"/>
  <c r="AY123" i="3"/>
  <c r="AY460" i="3"/>
  <c r="AY260" i="3"/>
  <c r="AY452" i="3"/>
  <c r="BE6" i="3"/>
  <c r="AY44"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64" i="3"/>
  <c r="AY434" i="3"/>
  <c r="AY567" i="3"/>
  <c r="AY203" i="3"/>
  <c r="AY492" i="3"/>
  <c r="AY511" i="3"/>
  <c r="AY224" i="3"/>
  <c r="AY91" i="3"/>
  <c r="AY579" i="3"/>
  <c r="AY189" i="3"/>
  <c r="AY350" i="3"/>
  <c r="AY237" i="3"/>
  <c r="AY242" i="3"/>
  <c r="AY165" i="3"/>
  <c r="AY245" i="3"/>
  <c r="AY566" i="3"/>
  <c r="AY107" i="3"/>
  <c r="AY62" i="3"/>
  <c r="AY432" i="3"/>
  <c r="AY13" i="3"/>
  <c r="AY563" i="3"/>
  <c r="AY352" i="3"/>
  <c r="AY429" i="3"/>
  <c r="AY277" i="3"/>
  <c r="AY560" i="3"/>
  <c r="AY167" i="3"/>
  <c r="AY519" i="3"/>
  <c r="AY286" i="3"/>
  <c r="AY112" i="3"/>
  <c r="AY117" i="3"/>
  <c r="AY495" i="3"/>
  <c r="AY202" i="3"/>
  <c r="AY60" i="3"/>
  <c r="AY155" i="3"/>
  <c r="AY477" i="3"/>
  <c r="AY408" i="3"/>
  <c r="AY545" i="3"/>
  <c r="AY396" i="3"/>
  <c r="AY375" i="3"/>
  <c r="AY330" i="3"/>
  <c r="AY575" i="3"/>
  <c r="AY298" i="3"/>
  <c r="AY490" i="3"/>
  <c r="AY148" i="3"/>
  <c r="AY437" i="3"/>
  <c r="AY94" i="3"/>
  <c r="AY313" i="3"/>
  <c r="AY536" i="3"/>
  <c r="AY84" i="3"/>
  <c r="AY516" i="3"/>
  <c r="AY89" i="3"/>
  <c r="AY411" i="3"/>
  <c r="AY357" i="3"/>
  <c r="AY533" i="3"/>
  <c r="AY183" i="3"/>
  <c r="AC6" i="3"/>
  <c r="D116" i="43"/>
  <c r="H6" i="3"/>
  <c r="AA10" i="40"/>
  <c r="AB10" i="39"/>
  <c r="AC10" i="39"/>
  <c r="W10" i="40"/>
  <c r="U10" i="40"/>
  <c r="E49" i="34"/>
  <c r="C17" i="71"/>
  <c r="D18"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D25" i="6"/>
  <c r="D15" i="6"/>
  <c r="D22" i="6"/>
  <c r="D21" i="6"/>
  <c r="D24" i="6"/>
  <c r="D20" i="6"/>
  <c r="M19" i="9"/>
  <c r="C118" i="9"/>
  <c r="B2" i="74"/>
  <c r="D26" i="6"/>
  <c r="D8" i="6"/>
  <c r="D14" i="6"/>
  <c r="D6" i="6"/>
  <c r="D9" i="6"/>
  <c r="D10" i="6"/>
  <c r="L19" i="9"/>
  <c r="D29"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C10" i="68"/>
  <c r="H22" i="6"/>
  <c r="H25" i="6"/>
  <c r="E6" i="3"/>
  <c r="C16" i="71"/>
  <c r="D17" i="71"/>
  <c r="H23" i="6"/>
  <c r="R23" i="6"/>
  <c r="R10" i="1"/>
  <c r="C30" i="43"/>
  <c r="B2" i="43"/>
  <c r="B3" i="43"/>
  <c r="C31" i="43"/>
  <c r="H20" i="6"/>
  <c r="R20" i="6"/>
  <c r="E12" i="70"/>
  <c r="F34" i="11"/>
  <c r="F11" i="12"/>
  <c r="C23" i="12"/>
  <c r="S16" i="1"/>
  <c r="E9" i="70"/>
  <c r="E2" i="70"/>
  <c r="AR9" i="1"/>
  <c r="AQ9" i="1"/>
  <c r="T9" i="1"/>
  <c r="AQ11" i="1"/>
  <c r="AR11" i="1"/>
  <c r="T11" i="1"/>
  <c r="AR12" i="1"/>
  <c r="T12" i="1"/>
  <c r="AQ12" i="1"/>
  <c r="AQ10" i="1"/>
  <c r="T10" i="1"/>
  <c r="AR10" i="1"/>
  <c r="AR7" i="1"/>
  <c r="AQ7" i="1"/>
  <c r="T7" i="1"/>
  <c r="M27" i="6"/>
  <c r="I19" i="6"/>
  <c r="D16" i="6"/>
  <c r="R26" i="6"/>
  <c r="R24" i="6"/>
  <c r="R11" i="1"/>
  <c r="R22" i="6"/>
  <c r="R9" i="1"/>
  <c r="D27" i="6"/>
  <c r="D31" i="6"/>
  <c r="D8" i="74"/>
  <c r="D7" i="74"/>
  <c r="R21" i="6"/>
  <c r="R8" i="1"/>
  <c r="F50" i="11"/>
  <c r="F50" i="68"/>
  <c r="C4" i="52"/>
  <c r="B45" i="72"/>
  <c r="A10" i="51"/>
  <c r="B9" i="72"/>
  <c r="A7" i="51"/>
  <c r="B7" i="72"/>
  <c r="R25" i="6"/>
  <c r="R12" i="1"/>
  <c r="H69" i="39"/>
  <c r="I67" i="39"/>
  <c r="G65" i="40"/>
  <c r="H63" i="40"/>
  <c r="C43" i="37"/>
  <c r="C42" i="37"/>
  <c r="I48" i="35"/>
  <c r="C48" i="33"/>
  <c r="C49" i="33"/>
  <c r="H58" i="21"/>
  <c r="E47" i="37"/>
  <c r="F47" i="37"/>
  <c r="E46" i="37"/>
  <c r="F46" i="37"/>
  <c r="I47" i="37"/>
  <c r="J47" i="37"/>
  <c r="E53" i="33"/>
  <c r="F53" i="33"/>
  <c r="E52" i="33"/>
  <c r="F52" i="33"/>
  <c r="C15" i="71"/>
  <c r="T16" i="71"/>
  <c r="D16" i="71"/>
  <c r="U16" i="71"/>
  <c r="T16" i="1"/>
  <c r="C36" i="11"/>
  <c r="C37" i="11"/>
  <c r="C34" i="11"/>
  <c r="H19" i="6"/>
  <c r="S19" i="6"/>
  <c r="S27" i="6"/>
  <c r="I27" i="6"/>
  <c r="C19" i="69"/>
  <c r="I5" i="6"/>
  <c r="I6" i="6"/>
  <c r="I69" i="39"/>
  <c r="J67" i="39"/>
  <c r="I63" i="40"/>
  <c r="H65" i="40"/>
  <c r="I58" i="21"/>
  <c r="J58" i="21"/>
  <c r="K58" i="21"/>
  <c r="L58" i="21"/>
  <c r="M58" i="21"/>
  <c r="N58" i="21"/>
  <c r="O58" i="21"/>
  <c r="H7" i="21"/>
  <c r="J48" i="35"/>
  <c r="C14" i="71"/>
  <c r="D15" i="71"/>
  <c r="F7" i="21"/>
  <c r="S7" i="21"/>
  <c r="J7" i="21"/>
  <c r="AC7" i="21"/>
  <c r="V48" i="21"/>
  <c r="I48" i="21"/>
  <c r="C38" i="11"/>
  <c r="C35" i="11"/>
  <c r="H27" i="6"/>
  <c r="R19" i="6"/>
  <c r="J69" i="39"/>
  <c r="K67" i="39"/>
  <c r="U7" i="21"/>
  <c r="AB7" i="21"/>
  <c r="T48" i="21"/>
  <c r="G48" i="21"/>
  <c r="J63" i="40"/>
  <c r="I65" i="40"/>
  <c r="K48" i="35"/>
  <c r="L48" i="35"/>
  <c r="M48" i="35"/>
  <c r="N48" i="35"/>
  <c r="O48" i="35"/>
  <c r="H7" i="35"/>
  <c r="D14" i="71"/>
  <c r="C13" i="71"/>
  <c r="W7" i="21"/>
  <c r="AA7" i="21"/>
  <c r="R48" i="21"/>
  <c r="R49" i="21"/>
  <c r="J7" i="35"/>
  <c r="W7" i="35"/>
  <c r="C33" i="11"/>
  <c r="C39" i="11"/>
  <c r="R27" i="6"/>
  <c r="L67" i="39"/>
  <c r="K69" i="39"/>
  <c r="J65" i="40"/>
  <c r="K63" i="40"/>
  <c r="I52" i="21"/>
  <c r="J52" i="21"/>
  <c r="U7" i="35"/>
  <c r="AB7" i="35"/>
  <c r="T38" i="35"/>
  <c r="G38" i="35"/>
  <c r="E48" i="21"/>
  <c r="G52" i="21"/>
  <c r="H52" i="21"/>
  <c r="G53" i="21"/>
  <c r="H53" i="21"/>
  <c r="F7" i="35"/>
  <c r="AC7" i="35"/>
  <c r="V38" i="35"/>
  <c r="I38" i="35"/>
  <c r="C12" i="71"/>
  <c r="D13" i="71"/>
  <c r="C46" i="11"/>
  <c r="C45" i="11"/>
  <c r="L69" i="39"/>
  <c r="M67" i="39"/>
  <c r="S7" i="35"/>
  <c r="AA7" i="35"/>
  <c r="R38" i="35"/>
  <c r="C49" i="21"/>
  <c r="C48" i="21"/>
  <c r="E52" i="21"/>
  <c r="F52" i="21"/>
  <c r="E53" i="21"/>
  <c r="F53" i="21"/>
  <c r="G42" i="35"/>
  <c r="H42" i="35"/>
  <c r="G43" i="35"/>
  <c r="H43" i="35"/>
  <c r="I53" i="21"/>
  <c r="J53" i="21"/>
  <c r="K65" i="40"/>
  <c r="L63" i="40"/>
  <c r="I42" i="35"/>
  <c r="J42" i="35"/>
  <c r="C11" i="71"/>
  <c r="T12" i="71"/>
  <c r="D12" i="71"/>
  <c r="U12" i="71"/>
  <c r="M69" i="39"/>
  <c r="N67" i="39"/>
  <c r="R39" i="35"/>
  <c r="E38" i="35"/>
  <c r="M63" i="40"/>
  <c r="L65" i="40"/>
  <c r="C10" i="71"/>
  <c r="D11" i="71"/>
  <c r="B2" i="21"/>
  <c r="B3" i="21"/>
  <c r="O67" i="39"/>
  <c r="O69" i="39"/>
  <c r="N69" i="39"/>
  <c r="F7" i="39"/>
  <c r="C39" i="35"/>
  <c r="C38" i="35"/>
  <c r="N63" i="40"/>
  <c r="M65" i="40"/>
  <c r="E43" i="35"/>
  <c r="F43" i="35"/>
  <c r="E42" i="35"/>
  <c r="F42" i="35"/>
  <c r="I43" i="35"/>
  <c r="J43" i="35"/>
  <c r="D10" i="71"/>
  <c r="C9" i="71"/>
  <c r="B2" i="33"/>
  <c r="B3" i="33"/>
  <c r="H7" i="39"/>
  <c r="J7" i="39"/>
  <c r="S7" i="39"/>
  <c r="AA7" i="39"/>
  <c r="R47" i="39"/>
  <c r="O63" i="40"/>
  <c r="O65" i="40"/>
  <c r="N65" i="40"/>
  <c r="C8" i="71"/>
  <c r="D9" i="71"/>
  <c r="B2" i="36"/>
  <c r="B3" i="36"/>
  <c r="B2" i="35"/>
  <c r="B3" i="35"/>
  <c r="B2" i="37"/>
  <c r="B3" i="37"/>
  <c r="B2" i="34"/>
  <c r="B3" i="34"/>
  <c r="W7" i="39"/>
  <c r="AC7" i="39"/>
  <c r="V47" i="39"/>
  <c r="I47" i="39"/>
  <c r="E47" i="39"/>
  <c r="R48" i="39"/>
  <c r="U7" i="39"/>
  <c r="AB7" i="39"/>
  <c r="T47" i="39"/>
  <c r="G47" i="39"/>
  <c r="J7" i="40"/>
  <c r="F7" i="40"/>
  <c r="H7" i="40"/>
  <c r="C7" i="71"/>
  <c r="D8"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E2" i="81"/>
  <c r="D6" i="73"/>
  <c r="F9" i="82"/>
  <c r="F35" i="15"/>
  <c r="D2" i="36"/>
  <c r="F40" i="82"/>
  <c r="M27" i="67"/>
  <c r="AO9" i="1"/>
  <c r="D2" i="21"/>
  <c r="M21" i="15"/>
  <c r="E13" i="76"/>
  <c r="F43" i="15"/>
  <c r="M26" i="82"/>
  <c r="F6" i="73"/>
  <c r="M24" i="82"/>
  <c r="C76" i="15"/>
  <c r="D10" i="69"/>
  <c r="J15" i="67"/>
  <c r="C14" i="15"/>
  <c r="L47" i="15"/>
  <c r="M23" i="67"/>
  <c r="F6" i="82"/>
  <c r="E10" i="76"/>
  <c r="E11" i="76"/>
  <c r="F26" i="82"/>
  <c r="C76" i="67"/>
  <c r="M8" i="15"/>
  <c r="D20" i="9"/>
  <c r="AO11" i="1"/>
  <c r="M23" i="15"/>
  <c r="M21" i="82"/>
  <c r="E2" i="68"/>
  <c r="AO8" i="1"/>
  <c r="F13" i="82"/>
  <c r="B6" i="76"/>
  <c r="F41" i="15"/>
  <c r="F42" i="82"/>
  <c r="F9" i="15"/>
  <c r="M9" i="82"/>
  <c r="F40" i="15"/>
  <c r="M27" i="15"/>
  <c r="F13" i="15"/>
  <c r="F8" i="82"/>
  <c r="F38" i="82"/>
  <c r="F20" i="31"/>
  <c r="D35" i="9"/>
  <c r="F26" i="15"/>
  <c r="B7" i="76"/>
  <c r="M8" i="82"/>
  <c r="AO6" i="1"/>
  <c r="L48" i="82"/>
  <c r="M29" i="15"/>
  <c r="D4" i="73"/>
  <c r="F3" i="73"/>
  <c r="F5" i="73"/>
  <c r="M28" i="82"/>
  <c r="E12" i="76"/>
  <c r="F7" i="82"/>
  <c r="C36" i="69"/>
  <c r="L47" i="82"/>
  <c r="F6" i="15"/>
  <c r="M29" i="82"/>
  <c r="M27" i="82"/>
  <c r="D7" i="73"/>
  <c r="D2" i="34"/>
  <c r="F42" i="15"/>
  <c r="M28" i="15"/>
  <c r="C19" i="9"/>
  <c r="C34" i="69"/>
  <c r="C20" i="9"/>
  <c r="M24" i="67"/>
  <c r="M28" i="67"/>
  <c r="M22" i="15"/>
  <c r="E2" i="69"/>
  <c r="F7" i="73"/>
  <c r="M21" i="67"/>
  <c r="B13" i="76"/>
  <c r="D2" i="33"/>
  <c r="F7" i="15"/>
  <c r="M26" i="67"/>
  <c r="M22" i="82"/>
  <c r="D34" i="9"/>
  <c r="E8" i="76"/>
  <c r="B12" i="76"/>
  <c r="D19" i="9"/>
  <c r="M6" i="15"/>
  <c r="B10" i="76"/>
  <c r="E6" i="76"/>
  <c r="M22" i="67"/>
  <c r="F35" i="82"/>
  <c r="M29" i="67"/>
  <c r="D2" i="37"/>
  <c r="F43" i="82"/>
  <c r="F37" i="15"/>
  <c r="F27" i="69"/>
  <c r="F38" i="15"/>
  <c r="F37" i="82"/>
  <c r="M9" i="15"/>
  <c r="L48" i="15"/>
  <c r="F8" i="15"/>
  <c r="F41" i="82"/>
  <c r="F36" i="15"/>
  <c r="F16" i="82"/>
  <c r="M26" i="15"/>
  <c r="B8" i="76"/>
  <c r="D9" i="69"/>
  <c r="AO12" i="1"/>
  <c r="AO10" i="1"/>
  <c r="E9" i="76"/>
  <c r="D2" i="35"/>
  <c r="C76" i="82"/>
  <c r="B9" i="76"/>
  <c r="J15" i="15"/>
  <c r="B11" i="76"/>
  <c r="E7" i="76"/>
  <c r="J15" i="82"/>
  <c r="M23" i="82"/>
  <c r="M24" i="15"/>
  <c r="M6" i="82"/>
  <c r="F36" i="82"/>
  <c r="F16" i="15"/>
  <c r="L47" i="67"/>
  <c r="AO13" i="1"/>
  <c r="D3" i="73"/>
  <c r="F15" i="49"/>
  <c r="H15" i="49"/>
  <c r="C14" i="12"/>
  <c r="F7" i="49"/>
  <c r="H7" i="49"/>
  <c r="F12" i="49"/>
  <c r="H12" i="49"/>
  <c r="B8" i="49"/>
  <c r="D8" i="49"/>
  <c r="F6" i="49"/>
  <c r="H6" i="49"/>
  <c r="F11" i="49"/>
  <c r="H11" i="49"/>
  <c r="B6" i="49"/>
  <c r="D6" i="49"/>
  <c r="C18" i="12"/>
  <c r="F10" i="49"/>
  <c r="H10" i="49"/>
  <c r="F4" i="49"/>
  <c r="H4" i="49"/>
  <c r="B11" i="49"/>
  <c r="D11" i="49"/>
  <c r="F14" i="49"/>
  <c r="H14" i="49"/>
  <c r="F8" i="49"/>
  <c r="H8" i="49"/>
  <c r="B14" i="49"/>
  <c r="D14" i="49"/>
  <c r="B9" i="49"/>
  <c r="D9" i="49"/>
  <c r="B12" i="49"/>
  <c r="D12" i="49"/>
  <c r="B4" i="49"/>
  <c r="D4" i="49"/>
  <c r="B7" i="49"/>
  <c r="D7" i="49"/>
  <c r="D19" i="68"/>
  <c r="F13" i="49"/>
  <c r="H13" i="49"/>
  <c r="F9" i="49"/>
  <c r="H9" i="49"/>
  <c r="F5" i="49"/>
  <c r="H5" i="49"/>
  <c r="B10" i="49"/>
  <c r="D10" i="49"/>
  <c r="B13" i="49"/>
  <c r="D13" i="49"/>
  <c r="R16" i="1"/>
  <c r="C18" i="15"/>
  <c r="C15" i="15"/>
  <c r="F64" i="15"/>
  <c r="Q71" i="67"/>
  <c r="C27" i="15"/>
  <c r="Q71" i="82"/>
  <c r="B6" i="70"/>
  <c r="B10" i="70"/>
  <c r="B9" i="70"/>
  <c r="J20" i="15"/>
  <c r="B8" i="70"/>
  <c r="M3" i="35"/>
  <c r="F63" i="15"/>
  <c r="C62" i="15"/>
  <c r="C34" i="15"/>
  <c r="E2" i="76"/>
  <c r="F50" i="15"/>
  <c r="M7" i="15"/>
  <c r="J6" i="15"/>
  <c r="F68" i="15"/>
  <c r="B11" i="70"/>
  <c r="B12" i="70"/>
  <c r="J20" i="82"/>
  <c r="B2" i="76"/>
  <c r="C6" i="69"/>
  <c r="C10" i="69"/>
  <c r="J20" i="67"/>
  <c r="Q71" i="15"/>
  <c r="F65" i="15"/>
  <c r="F66" i="15"/>
  <c r="F71" i="15"/>
  <c r="C6" i="15"/>
  <c r="D102" i="9"/>
  <c r="D21" i="9"/>
  <c r="F69" i="15"/>
  <c r="J53" i="15"/>
  <c r="L56" i="15"/>
  <c r="I54" i="15"/>
  <c r="J57" i="15"/>
  <c r="J55" i="15"/>
  <c r="J58" i="15"/>
  <c r="Q50" i="15"/>
  <c r="F51" i="15"/>
  <c r="L58" i="67"/>
  <c r="N59" i="67"/>
  <c r="M59" i="67"/>
  <c r="L59" i="67"/>
  <c r="N59" i="15"/>
  <c r="L59" i="15"/>
  <c r="M59" i="15"/>
  <c r="L58" i="15"/>
  <c r="C21" i="9"/>
  <c r="D22" i="9"/>
  <c r="G19" i="9"/>
  <c r="G21" i="9"/>
  <c r="C102" i="9"/>
  <c r="F66" i="67"/>
  <c r="F68" i="82"/>
  <c r="C27" i="82"/>
  <c r="D103" i="9"/>
  <c r="F63" i="67"/>
  <c r="C62" i="67"/>
  <c r="D19" i="69"/>
  <c r="D37" i="69"/>
  <c r="C37" i="69"/>
  <c r="C9" i="69"/>
  <c r="F66" i="82"/>
  <c r="C34" i="82"/>
  <c r="F63" i="82"/>
  <c r="C62" i="82"/>
  <c r="M7" i="82"/>
  <c r="J6" i="82"/>
  <c r="F50" i="82"/>
  <c r="L59" i="82"/>
  <c r="N59" i="82"/>
  <c r="M59" i="82"/>
  <c r="L58" i="82"/>
  <c r="Q50" i="67"/>
  <c r="L56" i="67"/>
  <c r="L60" i="67"/>
  <c r="I54" i="67"/>
  <c r="L57" i="67"/>
  <c r="F65" i="67"/>
  <c r="F64" i="67"/>
  <c r="F71" i="67"/>
  <c r="F50" i="67"/>
  <c r="C35" i="69"/>
  <c r="C38" i="69"/>
  <c r="C47" i="69"/>
  <c r="D45" i="69"/>
  <c r="C29" i="69"/>
  <c r="D27" i="69"/>
  <c r="F45" i="69"/>
  <c r="F71" i="82"/>
  <c r="F51" i="82"/>
  <c r="B13" i="70"/>
  <c r="G20" i="9"/>
  <c r="C32" i="9"/>
  <c r="C103" i="9"/>
  <c r="B20" i="31"/>
  <c r="B21" i="31"/>
  <c r="F45" i="81"/>
  <c r="F68" i="67"/>
  <c r="F51" i="67"/>
  <c r="J57" i="82"/>
  <c r="J55" i="82"/>
  <c r="J58" i="82"/>
  <c r="Q50" i="82"/>
  <c r="J53" i="82"/>
  <c r="L56" i="82"/>
  <c r="L57" i="82"/>
  <c r="L60" i="82"/>
  <c r="I54" i="82"/>
  <c r="F69" i="82"/>
  <c r="F65" i="82"/>
  <c r="F64" i="82"/>
  <c r="C6" i="82"/>
  <c r="F45" i="68"/>
  <c r="C47" i="68"/>
  <c r="D45" i="68"/>
  <c r="C29" i="68"/>
  <c r="D27" i="68"/>
  <c r="C36" i="68"/>
  <c r="C34" i="68"/>
  <c r="C15" i="12"/>
  <c r="C12" i="12"/>
  <c r="C16" i="82"/>
  <c r="C17" i="15"/>
  <c r="C16" i="15"/>
  <c r="C17" i="82"/>
  <c r="C14" i="82"/>
  <c r="B3" i="76"/>
  <c r="C33" i="69"/>
  <c r="C39" i="69"/>
  <c r="C46" i="69"/>
  <c r="C45" i="69"/>
  <c r="C19" i="68"/>
  <c r="D37" i="68"/>
  <c r="C37" i="68"/>
  <c r="C16" i="12"/>
  <c r="C21" i="12"/>
  <c r="C22" i="12"/>
  <c r="C49" i="82"/>
  <c r="C61" i="82"/>
  <c r="C49" i="15"/>
  <c r="C61" i="15"/>
  <c r="C8" i="69"/>
  <c r="C49" i="67"/>
  <c r="C61" i="67"/>
  <c r="C15" i="82"/>
  <c r="C18" i="82"/>
  <c r="J18" i="15"/>
  <c r="J19" i="15"/>
  <c r="J18" i="67"/>
  <c r="J19" i="67"/>
  <c r="C19" i="15"/>
  <c r="J19" i="82"/>
  <c r="J18" i="82"/>
  <c r="Q52" i="67"/>
  <c r="C33" i="82"/>
  <c r="C32" i="82"/>
  <c r="C35" i="9"/>
  <c r="C34" i="9"/>
  <c r="Q57" i="67"/>
  <c r="Q66" i="67"/>
  <c r="Q61" i="82"/>
  <c r="Q74" i="82"/>
  <c r="Q60" i="67"/>
  <c r="Q73" i="67"/>
  <c r="Q66" i="82"/>
  <c r="Q57" i="82"/>
  <c r="Q60" i="82"/>
  <c r="Q73" i="82"/>
  <c r="Q60" i="15"/>
  <c r="Q73" i="15"/>
  <c r="Q74" i="67"/>
  <c r="Q61" i="67"/>
  <c r="C35" i="68"/>
  <c r="C38" i="68"/>
  <c r="F11" i="82"/>
  <c r="C53" i="82"/>
  <c r="C53" i="67"/>
  <c r="F11" i="15"/>
  <c r="M11" i="15"/>
  <c r="J10" i="15"/>
  <c r="J5" i="15"/>
  <c r="M11" i="82"/>
  <c r="J10" i="82"/>
  <c r="J5" i="82"/>
  <c r="Q74" i="15"/>
  <c r="Q61" i="15"/>
  <c r="F1" i="82"/>
  <c r="Q52" i="82"/>
  <c r="Q52" i="15"/>
  <c r="F1" i="15"/>
  <c r="C32" i="15"/>
  <c r="C33" i="15"/>
  <c r="C7" i="69"/>
  <c r="F22" i="69"/>
  <c r="F24" i="82"/>
  <c r="C24" i="82"/>
  <c r="L36" i="43"/>
  <c r="F25" i="12"/>
  <c r="C26" i="12"/>
  <c r="D25" i="12"/>
  <c r="F22" i="68"/>
  <c r="F24" i="15"/>
  <c r="C24" i="15"/>
  <c r="F22" i="11"/>
  <c r="C27" i="12"/>
  <c r="C25" i="12"/>
  <c r="C48" i="82"/>
  <c r="C60" i="82"/>
  <c r="C59" i="82"/>
  <c r="C33" i="68"/>
  <c r="C42" i="68"/>
  <c r="C42" i="69"/>
  <c r="C30" i="12"/>
  <c r="C28" i="12"/>
  <c r="C5" i="69"/>
  <c r="C20" i="69"/>
  <c r="C25" i="69"/>
  <c r="C20" i="68"/>
  <c r="C28" i="68"/>
  <c r="C27" i="68"/>
  <c r="C48" i="67"/>
  <c r="C66" i="67"/>
  <c r="J17" i="15"/>
  <c r="C19" i="82"/>
  <c r="C20" i="82"/>
  <c r="C26" i="82"/>
  <c r="C31" i="15"/>
  <c r="C10" i="82"/>
  <c r="C5" i="82"/>
  <c r="C38" i="82"/>
  <c r="J17" i="82"/>
  <c r="J26" i="82"/>
  <c r="J29" i="82"/>
  <c r="J24" i="82"/>
  <c r="J24" i="15"/>
  <c r="J26" i="15"/>
  <c r="J29" i="15"/>
  <c r="J24" i="67"/>
  <c r="P36" i="43"/>
  <c r="L37" i="43"/>
  <c r="N36" i="43"/>
  <c r="O36" i="43"/>
  <c r="M36" i="43"/>
  <c r="Q36" i="43"/>
  <c r="F41" i="81"/>
  <c r="J17" i="67"/>
  <c r="C66" i="82"/>
  <c r="C31" i="82"/>
  <c r="C43" i="69"/>
  <c r="C41" i="69"/>
  <c r="C26" i="68"/>
  <c r="D22" i="68"/>
  <c r="C44" i="68"/>
  <c r="D41" i="68"/>
  <c r="F41" i="68"/>
  <c r="C23" i="68"/>
  <c r="C24" i="68"/>
  <c r="C44" i="11"/>
  <c r="D41" i="11"/>
  <c r="C23" i="11"/>
  <c r="C26" i="11"/>
  <c r="D22" i="11"/>
  <c r="C43" i="11"/>
  <c r="C24" i="11"/>
  <c r="C25" i="11"/>
  <c r="C42" i="11"/>
  <c r="C26" i="69"/>
  <c r="D22" i="69"/>
  <c r="C24" i="69"/>
  <c r="F41" i="69"/>
  <c r="C44" i="69"/>
  <c r="D41" i="69"/>
  <c r="C10" i="15"/>
  <c r="C5" i="15"/>
  <c r="C53" i="15"/>
  <c r="C48" i="15"/>
  <c r="C20" i="15"/>
  <c r="C23" i="15"/>
  <c r="C32" i="12"/>
  <c r="B2" i="12"/>
  <c r="B3" i="12"/>
  <c r="F69" i="67"/>
  <c r="C39" i="68"/>
  <c r="C43" i="68"/>
  <c r="C41" i="68"/>
  <c r="C23" i="69"/>
  <c r="C22" i="69"/>
  <c r="C25" i="68"/>
  <c r="C22" i="68"/>
  <c r="C31" i="68"/>
  <c r="C23" i="82"/>
  <c r="C29" i="82"/>
  <c r="C28" i="69"/>
  <c r="C27" i="69"/>
  <c r="C60" i="67"/>
  <c r="C59" i="67"/>
  <c r="C49" i="69"/>
  <c r="C51" i="69"/>
  <c r="C38" i="15"/>
  <c r="C41" i="11"/>
  <c r="C49" i="11"/>
  <c r="C51" i="11"/>
  <c r="C26" i="15"/>
  <c r="C29" i="15"/>
  <c r="C22" i="11"/>
  <c r="C31" i="11"/>
  <c r="P37" i="43"/>
  <c r="O37" i="43"/>
  <c r="M37" i="43"/>
  <c r="N37" i="43"/>
  <c r="Q37" i="43"/>
  <c r="C66" i="15"/>
  <c r="C60" i="15"/>
  <c r="C59" i="15"/>
  <c r="G5" i="83"/>
  <c r="H32" i="83"/>
  <c r="G4" i="83"/>
  <c r="H26" i="83"/>
  <c r="H29" i="83"/>
  <c r="C46" i="68"/>
  <c r="C45" i="68"/>
  <c r="C49" i="68"/>
  <c r="C51" i="68"/>
  <c r="C52" i="68"/>
  <c r="B2" i="68"/>
  <c r="B3" i="68"/>
  <c r="C31" i="69"/>
  <c r="C52" i="69"/>
  <c r="C13" i="82"/>
  <c r="C56" i="82"/>
  <c r="C65" i="82"/>
  <c r="Q49" i="82"/>
  <c r="C57" i="82"/>
  <c r="C64" i="82"/>
  <c r="J59" i="82"/>
  <c r="J60" i="82"/>
  <c r="L46" i="82"/>
  <c r="C36" i="82"/>
  <c r="J14" i="82"/>
  <c r="J22" i="82"/>
  <c r="J14" i="67"/>
  <c r="C57" i="67"/>
  <c r="C64" i="67"/>
  <c r="Q49" i="67"/>
  <c r="J14" i="15"/>
  <c r="C36" i="15"/>
  <c r="Q49" i="15"/>
  <c r="C57" i="15"/>
  <c r="C64" i="15"/>
  <c r="C13" i="15"/>
  <c r="J59" i="15"/>
  <c r="J60" i="15"/>
  <c r="C52" i="11"/>
  <c r="B2" i="11"/>
  <c r="B3" i="11"/>
  <c r="J13" i="82"/>
  <c r="J23" i="82"/>
  <c r="J16" i="82"/>
  <c r="J25" i="82"/>
  <c r="C57" i="81"/>
  <c r="C56" i="81"/>
  <c r="Q70" i="82"/>
  <c r="H23" i="83"/>
  <c r="B2" i="69"/>
  <c r="C57" i="69"/>
  <c r="C56" i="69"/>
  <c r="Q48" i="82"/>
  <c r="C75" i="82"/>
  <c r="C37" i="82"/>
  <c r="C30" i="82"/>
  <c r="C39" i="82"/>
  <c r="C58" i="82"/>
  <c r="C67" i="82"/>
  <c r="C68" i="82"/>
  <c r="C71" i="82"/>
  <c r="C56" i="11"/>
  <c r="C57" i="11"/>
  <c r="Q48" i="15"/>
  <c r="L46" i="15"/>
  <c r="C75" i="67"/>
  <c r="C56" i="67"/>
  <c r="C65" i="67"/>
  <c r="C58" i="67"/>
  <c r="C67" i="67"/>
  <c r="C68" i="67"/>
  <c r="Q70" i="67"/>
  <c r="Q70" i="15"/>
  <c r="C56" i="15"/>
  <c r="C65" i="15"/>
  <c r="C58" i="15"/>
  <c r="C67" i="15"/>
  <c r="C68" i="15"/>
  <c r="C75" i="15"/>
  <c r="C37" i="15"/>
  <c r="C30" i="15"/>
  <c r="C39" i="15"/>
  <c r="J13" i="15"/>
  <c r="J23" i="15"/>
  <c r="J22" i="15"/>
  <c r="Q48" i="67"/>
  <c r="C57" i="68"/>
  <c r="C56" i="68"/>
  <c r="J13" i="67"/>
  <c r="J23" i="67"/>
  <c r="J22" i="67"/>
  <c r="L51" i="82"/>
  <c r="B3" i="69"/>
  <c r="C80" i="82"/>
  <c r="C79" i="82"/>
  <c r="Q69" i="82"/>
  <c r="Q68" i="82"/>
  <c r="C40" i="82"/>
  <c r="D2" i="82"/>
  <c r="G2" i="83"/>
  <c r="H17" i="83"/>
  <c r="J16" i="67"/>
  <c r="J25" i="67"/>
  <c r="Q67" i="82"/>
  <c r="Q69" i="15"/>
  <c r="Q68" i="15"/>
  <c r="C40" i="15"/>
  <c r="C46" i="15"/>
  <c r="C71" i="67"/>
  <c r="C45" i="67"/>
  <c r="C46" i="67"/>
  <c r="Q69" i="67"/>
  <c r="Q68" i="67"/>
  <c r="C80" i="67"/>
  <c r="C79" i="67"/>
  <c r="C80" i="15"/>
  <c r="C79" i="15"/>
  <c r="J16" i="15"/>
  <c r="J25" i="15"/>
  <c r="C71" i="15"/>
  <c r="L51" i="15"/>
  <c r="L51" i="67"/>
  <c r="E5" i="83"/>
  <c r="E4" i="83"/>
  <c r="C83" i="82"/>
  <c r="C82" i="82"/>
  <c r="C43" i="82"/>
  <c r="C45" i="82"/>
  <c r="C46" i="82"/>
  <c r="Q65" i="82"/>
  <c r="Q75" i="82"/>
  <c r="Q56" i="82"/>
  <c r="Q62" i="82"/>
  <c r="Q47" i="82"/>
  <c r="Q53" i="82"/>
  <c r="Q67" i="15"/>
  <c r="L57" i="15"/>
  <c r="L60" i="15"/>
  <c r="Q67" i="67"/>
  <c r="Q65" i="15"/>
  <c r="Q47" i="15"/>
  <c r="Q53" i="15"/>
  <c r="B2" i="15"/>
  <c r="B3" i="15"/>
  <c r="C43" i="15"/>
  <c r="Q56" i="15"/>
  <c r="C83" i="15"/>
  <c r="C82" i="15"/>
  <c r="B3" i="82"/>
  <c r="E2" i="83"/>
  <c r="B2" i="82"/>
  <c r="Q47" i="67"/>
  <c r="Q53" i="67"/>
  <c r="C43" i="67"/>
  <c r="Q65" i="67"/>
  <c r="Q75" i="67"/>
  <c r="Q56" i="67"/>
  <c r="Q62" i="67"/>
  <c r="C83" i="67"/>
  <c r="C82" i="67"/>
  <c r="I4" i="83"/>
  <c r="I26" i="83"/>
  <c r="I29" i="83"/>
  <c r="I32" i="83"/>
  <c r="I5" i="83"/>
  <c r="B2" i="67"/>
  <c r="I2" i="83"/>
  <c r="I17" i="83"/>
  <c r="Q66" i="15"/>
  <c r="Q75" i="15"/>
  <c r="Q57" i="15"/>
  <c r="Q62" i="15"/>
  <c r="AO7" i="1"/>
  <c r="H33" i="83"/>
  <c r="H34" i="83"/>
  <c r="J5" i="83"/>
  <c r="H27" i="83"/>
  <c r="J4" i="83"/>
  <c r="B7" i="70"/>
  <c r="B2" i="70"/>
  <c r="B3" i="70"/>
  <c r="J2" i="83"/>
  <c r="H18" i="83"/>
  <c r="H19" i="83"/>
  <c r="I23" i="83"/>
  <c r="H28" i="83"/>
  <c r="H30" i="83"/>
  <c r="H31" i="83"/>
  <c r="J3" i="83"/>
  <c r="J6" i="83"/>
  <c r="J8" i="83"/>
  <c r="J14" i="83"/>
  <c r="J15" i="83"/>
  <c r="D14" i="74"/>
  <c r="H22" i="83"/>
  <c r="H24" i="83"/>
  <c r="H25" i="83"/>
  <c r="H35" i="83"/>
  <c r="H37" i="83"/>
  <c r="B5" i="74"/>
  <c r="E14" i="74"/>
  <c r="F14" i="74"/>
  <c r="J11" i="83"/>
  <c r="J9" i="83"/>
  <c r="D5" i="74"/>
  <c r="E97" i="9"/>
  <c r="E96" i="9"/>
  <c r="C96" i="9"/>
  <c r="B32" i="72"/>
  <c r="D14" i="53"/>
  <c r="C85" i="9"/>
  <c r="C95" i="9"/>
  <c r="C97" i="9"/>
  <c r="D58" i="9"/>
  <c r="D56" i="9"/>
  <c r="M54" i="9"/>
  <c r="E81" i="9"/>
  <c r="E80" i="9"/>
  <c r="C80" i="9"/>
  <c r="D8" i="52"/>
  <c r="B53" i="72"/>
  <c r="F5" i="52"/>
  <c r="F119" i="9"/>
  <c r="B51" i="72"/>
  <c r="F4" i="52"/>
  <c r="B22" i="72"/>
  <c r="D6" i="53"/>
  <c r="C86" i="9"/>
  <c r="C93" i="9"/>
  <c r="B49" i="72"/>
  <c r="D5" i="52"/>
  <c r="D119" i="9"/>
  <c r="D54" i="9"/>
  <c r="C68" i="9"/>
  <c r="B21" i="72"/>
  <c r="D7" i="53"/>
  <c r="H5" i="52"/>
  <c r="H119" i="9"/>
  <c r="B52" i="72"/>
  <c r="F118" i="9"/>
  <c r="G118" i="9"/>
  <c r="G4" i="52"/>
  <c r="C73" i="9"/>
  <c r="C78" i="9"/>
  <c r="E4" i="52"/>
  <c r="B48" i="72"/>
  <c r="D5" i="53"/>
  <c r="B20" i="72"/>
  <c r="C105" i="9"/>
  <c r="I4" i="52"/>
  <c r="D13" i="53"/>
  <c r="B30" i="72"/>
  <c r="E118" i="9"/>
  <c r="D118" i="9"/>
  <c r="D4" i="52"/>
  <c r="B47" i="72"/>
  <c r="D122" i="9"/>
  <c r="D123" i="9"/>
  <c r="D9" i="52"/>
  <c r="C72" i="9"/>
  <c r="C79" i="9"/>
  <c r="C81" i="9"/>
  <c r="D53" i="9"/>
  <c r="D52" i="9"/>
  <c r="H102" i="9"/>
  <c r="C5" i="74"/>
  <c r="M48" i="9"/>
  <c r="B31" i="72"/>
  <c r="D15" i="53"/>
  <c r="C64" i="9"/>
  <c r="C63" i="9"/>
  <c r="C67" i="9"/>
  <c r="D59" i="9"/>
  <c r="M55" i="9"/>
  <c r="H4" i="52"/>
  <c r="C104" i="9"/>
  <c r="H107" i="9"/>
  <c r="H108" i="9"/>
  <c r="C6" i="74"/>
  <c r="N60" i="9"/>
  <c r="N59" i="9"/>
  <c r="N61" i="9"/>
  <c r="N58" i="9"/>
  <c r="I118" i="9"/>
  <c r="H118" i="9"/>
  <c r="H101" i="9"/>
  <c r="D45" i="9"/>
  <c r="D55" i="9"/>
  <c r="M53" i="9"/>
  <c r="N57" i="9"/>
  <c r="P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<sst xmlns="http://schemas.openxmlformats.org/spreadsheetml/2006/main" count="8446" uniqueCount="3475">
  <si>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</si>
  <si>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</si>
  <si>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</si>
  <si>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</si>
  <si>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</si>
  <si>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</si>
  <si>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</si>
  <si>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</si>
  <si>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</si>
  <si>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</si>
  <si>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</si>
  <si>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</si>
  <si>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</si>
  <si>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</si>
  <si>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</si>
  <si>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</si>
  <si>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</si>
  <si>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</si>
  <si>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</si>
  <si>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</si>
  <si>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</si>
  <si>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</si>
  <si>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</si>
  <si>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</si>
  <si>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</si>
  <si>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</si>
  <si>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</si>
  <si>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</si>
  <si>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</si>
  <si>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</si>
  <si>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</si>
  <si>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</si>
  <si>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</si>
  <si>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</si>
  <si>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</si>
  <si>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</si>
  <si>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</si>
  <si>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</si>
  <si>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</si>
  <si>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</si>
  <si>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</si>
  <si>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</si>
  <si>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</si>
  <si>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</si>
  <si>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</si>
  <si>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</si>
  <si>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</si>
  <si>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</si>
  <si>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</si>
  <si>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</si>
  <si>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</si>
  <si>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</si>
  <si>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</si>
  <si>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</si>
  <si>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</si>
  <si>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</si>
  <si>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</si>
  <si>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</si>
  <si>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</si>
  <si>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</si>
  <si>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</si>
  <si>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</si>
  <si>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</si>
  <si>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</si>
  <si>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</si>
  <si>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</si>
  <si>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</si>
  <si>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</si>
  <si>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</si>
  <si>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</si>
  <si>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</si>
  <si>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</si>
  <si>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</si>
  <si>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</si>
  <si>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</si>
  <si>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</si>
  <si>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</si>
  <si>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</si>
  <si>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</si>
  <si>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</si>
  <si>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</si>
  <si>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</si>
  <si>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</si>
  <si>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</si>
  <si>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</si>
  <si>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</si>
  <si>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</si>
  <si>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</si>
  <si>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</si>
  <si>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</si>
  <si>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</si>
  <si>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</si>
  <si>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</si>
  <si>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</si>
  <si>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</si>
  <si>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</si>
  <si>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</si>
  <si>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</si>
  <si>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</si>
  <si>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</si>
  <si>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</si>
  <si>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</si>
  <si>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</si>
  <si>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</si>
  <si>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</si>
  <si>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</si>
  <si>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</si>
  <si>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</si>
  <si>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</si>
  <si>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</si>
  <si>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</si>
  <si>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</si>
  <si>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</si>
  <si>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</si>
  <si>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</si>
  <si>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</si>
  <si>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</si>
  <si>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</si>
  <si>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</si>
  <si>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</si>
  <si>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</si>
  <si>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</si>
  <si>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</si>
  <si>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</si>
  <si>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</si>
  <si>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</si>
  <si>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</si>
  <si>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</si>
  <si>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</si>
  <si>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</si>
  <si>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</si>
  <si>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</si>
  <si>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</si>
  <si>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</si>
  <si>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</si>
  <si>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</si>
  <si>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</si>
  <si>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</si>
  <si>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</si>
  <si>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</si>
  <si>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</si>
  <si>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</si>
  <si>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</si>
  <si>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</si>
  <si>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</si>
  <si>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</si>
  <si>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</si>
  <si>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</si>
  <si>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</si>
  <si>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</si>
  <si>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</si>
  <si>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</si>
  <si>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</si>
  <si>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</si>
  <si>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</si>
  <si>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</si>
  <si>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</si>
  <si>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</si>
  <si>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</si>
  <si>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</si>
  <si>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</si>
  <si>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</si>
  <si>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</si>
  <si>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</si>
  <si>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</si>
  <si>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</si>
  <si>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</si>
  <si>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</si>
  <si>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</si>
  <si>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</si>
  <si>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</si>
  <si>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</si>
  <si>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</si>
  <si>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</si>
  <si>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</si>
  <si>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</si>
  <si>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</si>
  <si>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</si>
  <si>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</si>
  <si>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</si>
  <si>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</si>
  <si>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</si>
  <si>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</si>
  <si>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</si>
  <si>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</si>
  <si>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</si>
  <si>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</si>
  <si>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</si>
  <si>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</si>
  <si>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</si>
  <si>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</si>
  <si>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</si>
  <si>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</si>
  <si>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</si>
  <si>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</si>
  <si>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</si>
  <si>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</si>
  <si>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</si>
  <si>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</si>
  <si>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</si>
  <si>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</si>
  <si>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</si>
  <si>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</si>
  <si>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</si>
  <si>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</si>
  <si>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</si>
  <si>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</si>
  <si>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</si>
  <si>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</si>
  <si>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</si>
  <si>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</si>
  <si>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</si>
  <si>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</si>
  <si>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</si>
  <si>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</si>
  <si>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</si>
  <si>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</si>
  <si>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</si>
  <si>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</si>
  <si>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</si>
  <si>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</si>
  <si>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</si>
  <si>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</si>
  <si>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</si>
  <si>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</si>
  <si>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</si>
  <si>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</si>
  <si>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</si>
  <si>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</si>
  <si>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</si>
  <si>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</si>
  <si>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</si>
  <si>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</si>
  <si>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</si>
  <si>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</si>
  <si>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</si>
  <si>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</si>
  <si>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</si>
  <si>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</si>
  <si>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</si>
  <si>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</si>
  <si>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</si>
  <si>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</si>
  <si>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</si>
  <si>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</si>
  <si>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</si>
  <si>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</si>
  <si>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</si>
  <si>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</si>
  <si>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</si>
  <si>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</si>
  <si>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</si>
  <si>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</si>
  <si>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</si>
  <si>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</si>
  <si>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</si>
  <si>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</si>
  <si>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</si>
  <si>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</si>
  <si>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</si>
  <si>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</si>
  <si>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</si>
  <si>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</si>
  <si>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</si>
  <si>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</si>
  <si>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</si>
  <si>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</si>
  <si>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</si>
  <si>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</si>
  <si>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</si>
  <si>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</si>
  <si>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</si>
  <si>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</si>
  <si>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</si>
  <si>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</si>
  <si>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</si>
  <si>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</si>
  <si>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</si>
  <si>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</si>
  <si>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</si>
  <si>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</si>
  <si>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</si>
  <si>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</si>
  <si>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</si>
  <si>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</si>
  <si>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</si>
  <si>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</si>
  <si>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</si>
  <si>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</si>
  <si>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</si>
  <si>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</si>
  <si>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</si>
  <si>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</si>
  <si>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</si>
  <si>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</si>
  <si>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</si>
  <si>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</si>
  <si>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</si>
  <si>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</si>
  <si>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</si>
  <si>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</si>
  <si>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</si>
  <si>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</si>
  <si>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</si>
  <si>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</si>
  <si>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</si>
  <si>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</si>
  <si>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</si>
  <si>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</si>
  <si>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</si>
  <si>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</si>
  <si>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</si>
  <si>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</si>
  <si>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</si>
  <si>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</si>
  <si>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</si>
  <si>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</si>
  <si>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</si>
  <si>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</si>
  <si>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</si>
  <si>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</si>
  <si>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</si>
  <si>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</si>
  <si>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</si>
  <si>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</si>
  <si>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</si>
  <si>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</si>
  <si>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</si>
  <si>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</si>
  <si>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</si>
  <si>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</si>
  <si>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</si>
  <si>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</si>
  <si>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</si>
  <si>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</si>
  <si>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</si>
  <si>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</si>
  <si>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</si>
  <si>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</si>
  <si>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</si>
  <si>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</si>
  <si>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</si>
  <si>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</si>
  <si>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</si>
  <si>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</si>
  <si>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</si>
  <si>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</si>
  <si>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</si>
  <si>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</si>
  <si>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</si>
  <si>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</si>
  <si>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</si>
  <si>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</si>
  <si>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</si>
  <si>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</si>
  <si>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</si>
  <si>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</si>
  <si>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</si>
  <si>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</si>
  <si>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</si>
  <si>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</si>
  <si>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</si>
  <si>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</si>
  <si>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</si>
  <si>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</si>
  <si>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</si>
  <si>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</si>
  <si>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</si>
  <si>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</si>
  <si>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</si>
  <si>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</si>
  <si>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</si>
  <si>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</si>
  <si>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</si>
  <si>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</si>
  <si>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</si>
  <si>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</si>
  <si>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</si>
  <si>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</si>
  <si>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</si>
  <si>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</si>
  <si>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</si>
  <si>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</si>
  <si>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</si>
  <si>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</si>
  <si>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</si>
  <si>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</si>
  <si>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</si>
  <si>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</si>
  <si>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</si>
  <si>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</si>
  <si>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</si>
  <si>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</si>
  <si>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</si>
  <si>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</si>
  <si>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</si>
  <si>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</si>
  <si>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</si>
  <si>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</si>
  <si>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</si>
  <si>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</si>
  <si>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</si>
  <si>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</si>
  <si>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</si>
  <si>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</si>
  <si>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</si>
  <si>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</si>
  <si>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</si>
  <si>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</si>
  <si>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</si>
  <si>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</si>
  <si>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</si>
  <si>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</si>
  <si>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</si>
  <si>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</si>
  <si>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</si>
  <si>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</si>
  <si>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</si>
  <si>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</si>
  <si>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</si>
  <si>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</si>
  <si>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</si>
  <si>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</si>
  <si>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</si>
  <si>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</si>
  <si>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</si>
  <si>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</si>
  <si>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</si>
  <si>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</si>
  <si>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</si>
  <si>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</si>
  <si>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</si>
  <si>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</si>
  <si>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</si>
  <si>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</si>
  <si>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</si>
  <si>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</si>
  <si>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</si>
  <si>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</si>
  <si>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</si>
  <si>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</si>
  <si>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</si>
  <si>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</si>
  <si>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</si>
  <si>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</si>
  <si>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</si>
  <si>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</si>
  <si>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</si>
  <si>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</si>
  <si>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</si>
  <si>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</si>
  <si>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</si>
  <si>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</si>
  <si>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</si>
  <si>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</si>
  <si>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</si>
  <si>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</si>
  <si>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</si>
  <si>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</si>
  <si>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</si>
  <si>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</si>
  <si>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</si>
  <si>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</si>
  <si>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</si>
  <si>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</si>
  <si>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</si>
  <si>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</si>
  <si>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</si>
  <si>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</si>
  <si>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</si>
  <si>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</si>
  <si>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</si>
  <si>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</si>
  <si>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</si>
  <si>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</si>
  <si>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</si>
  <si>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</si>
  <si>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</si>
  <si>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</si>
  <si>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</si>
  <si>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</si>
  <si>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</si>
  <si>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</si>
  <si>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</si>
  <si>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</si>
  <si>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</si>
  <si>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</si>
  <si>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</si>
  <si>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</si>
  <si>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</si>
  <si>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</si>
  <si>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</si>
  <si>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</si>
  <si>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</si>
  <si>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</si>
  <si>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</si>
  <si>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</si>
  <si>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</si>
  <si>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</si>
  <si>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</si>
  <si>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</si>
  <si>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</si>
  <si>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</si>
  <si>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</si>
  <si>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</si>
  <si>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</si>
  <si>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</si>
  <si>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</si>
  <si>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</si>
  <si>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</si>
  <si>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</si>
  <si>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</si>
  <si>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</si>
  <si>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</si>
  <si>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</si>
  <si>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</si>
  <si>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</si>
  <si>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</si>
  <si>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</si>
  <si>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</si>
  <si>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</si>
  <si>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</si>
  <si>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</si>
  <si>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</si>
  <si>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</si>
  <si>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</si>
  <si>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</si>
  <si>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</si>
  <si>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</si>
  <si>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</si>
  <si>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</si>
  <si>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</si>
  <si>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</si>
  <si>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</si>
  <si>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</si>
  <si>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</si>
  <si>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</si>
  <si>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</si>
  <si>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</si>
  <si>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</si>
  <si>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</si>
  <si>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</si>
  <si>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</si>
  <si>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</si>
  <si>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</si>
  <si>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</si>
  <si>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</si>
  <si>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</si>
  <si>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</si>
  <si>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</si>
  <si>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</si>
  <si>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</si>
  <si>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</si>
  <si>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</si>
  <si>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</si>
  <si>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</si>
  <si>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</si>
  <si>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</si>
  <si>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</si>
  <si>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</si>
  <si>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</si>
  <si>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</si>
  <si>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</si>
  <si>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</si>
  <si>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</si>
  <si>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</si>
  <si>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</si>
  <si>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</si>
  <si>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</si>
  <si>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</si>
  <si>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</si>
  <si>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</si>
  <si>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</si>
  <si>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</si>
  <si>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</si>
  <si>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</si>
  <si>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</si>
  <si>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</si>
  <si>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</si>
  <si>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</si>
  <si>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</si>
  <si>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</si>
  <si>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</si>
  <si>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</si>
  <si>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</si>
  <si>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</si>
  <si>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</si>
  <si>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</si>
  <si>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</si>
  <si>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</si>
  <si>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</si>
  <si>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</si>
  <si>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</si>
  <si>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</si>
  <si>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</si>
  <si>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</si>
  <si>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</si>
  <si>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</si>
  <si>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</si>
  <si>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</si>
  <si>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</si>
  <si>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</si>
  <si>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</si>
  <si>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</si>
  <si>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</si>
  <si>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</si>
  <si>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</si>
  <si>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</si>
  <si>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</si>
  <si>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</si>
  <si>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</si>
  <si>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</si>
  <si>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</si>
  <si>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</si>
  <si>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</si>
  <si>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</si>
  <si>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</si>
  <si>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</si>
  <si>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</si>
  <si>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</si>
  <si>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</si>
  <si>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</si>
  <si>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</si>
  <si>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</si>
  <si>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</si>
  <si>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</si>
  <si>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</si>
  <si>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</si>
  <si>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</si>
  <si>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</si>
  <si>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</si>
  <si>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</si>
  <si>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</si>
  <si>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</si>
  <si>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</si>
  <si>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</si>
  <si>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</si>
  <si>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</si>
  <si>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</si>
  <si>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</si>
  <si>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</si>
  <si>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</si>
  <si>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</si>
  <si>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</si>
  <si>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</si>
  <si>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</si>
  <si>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</si>
  <si>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</si>
  <si>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</si>
  <si>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</si>
  <si>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</si>
  <si>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</si>
  <si>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</si>
  <si>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</si>
  <si>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</si>
  <si>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</si>
  <si>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</si>
  <si>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</si>
  <si>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</si>
  <si>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</si>
  <si>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</si>
  <si>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</si>
  <si>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</si>
  <si>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</si>
  <si>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</si>
  <si>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</si>
  <si>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</si>
  <si>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</si>
  <si>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</si>
  <si>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</si>
  <si>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</si>
  <si>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</si>
  <si>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</si>
  <si>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</si>
  <si>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</si>
  <si>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</si>
  <si>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</si>
  <si>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</si>
  <si>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</si>
  <si>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</si>
  <si>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</si>
  <si>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</si>
  <si>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</si>
  <si>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</si>
  <si>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</si>
  <si>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</si>
  <si>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</si>
  <si>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</si>
  <si>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</si>
  <si>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</si>
  <si>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</si>
  <si>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</si>
  <si>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</si>
  <si>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</si>
  <si>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</si>
  <si>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</si>
  <si>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</si>
  <si>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</si>
  <si>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</si>
  <si>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</si>
  <si>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</si>
  <si>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</si>
  <si>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</si>
  <si>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</si>
  <si>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</si>
  <si>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</si>
  <si>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</si>
  <si>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</si>
  <si>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</si>
  <si>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</si>
  <si>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</si>
  <si>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</si>
  <si>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</si>
  <si>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</si>
  <si>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</si>
  <si>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</si>
  <si>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</si>
  <si>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</si>
  <si>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</si>
  <si>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</si>
  <si>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</si>
  <si>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</si>
  <si>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</si>
  <si>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</si>
  <si>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</si>
  <si>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</si>
  <si>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</si>
  <si>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</si>
  <si>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</si>
  <si>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</si>
  <si>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</si>
  <si>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</si>
  <si>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</si>
  <si>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</si>
  <si>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</si>
  <si>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</si>
  <si>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</si>
  <si>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</si>
  <si>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</si>
  <si>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</si>
  <si>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</si>
  <si>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</si>
  <si>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</si>
  <si>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</si>
  <si>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</si>
  <si>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</si>
  <si>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</si>
  <si>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</si>
  <si>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</si>
  <si>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</si>
  <si>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</si>
  <si>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</si>
  <si>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</si>
  <si>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</si>
  <si>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</si>
  <si>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</si>
  <si>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</si>
  <si>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</si>
  <si>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</si>
  <si>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</si>
  <si>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</si>
  <si>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</si>
  <si>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</si>
  <si>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</si>
  <si>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</si>
  <si>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</si>
  <si>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</si>
  <si>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</si>
  <si>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</si>
  <si>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</si>
  <si>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</si>
  <si>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</si>
  <si>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</si>
  <si>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</si>
  <si>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</si>
  <si>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</si>
  <si>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</si>
  <si>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</si>
  <si>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</si>
  <si>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</si>
  <si>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</si>
  <si>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</si>
  <si>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</si>
  <si>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</si>
  <si>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</si>
  <si>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</si>
  <si>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</si>
  <si>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</si>
  <si>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</si>
  <si>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</si>
  <si>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</si>
  <si>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</si>
  <si>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</si>
  <si>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</si>
  <si>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</si>
  <si>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</si>
  <si>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</si>
  <si>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</si>
  <si>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</si>
  <si>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</si>
  <si>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</si>
  <si>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</si>
  <si>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</si>
  <si>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</si>
  <si>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</si>
  <si>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</si>
  <si>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</si>
  <si>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</si>
  <si>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</si>
  <si>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</si>
  <si>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</si>
  <si>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</si>
  <si>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</si>
  <si>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</si>
  <si>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</si>
  <si>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</si>
  <si>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</si>
  <si>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</si>
  <si>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</si>
  <si>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</si>
  <si>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</si>
  <si>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</si>
  <si>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</si>
  <si>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</si>
  <si>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</si>
  <si>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</si>
  <si>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</si>
  <si>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</si>
  <si>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</si>
  <si>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</si>
  <si>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</si>
  <si>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</si>
  <si>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</si>
  <si>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</si>
  <si>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</si>
  <si>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</si>
  <si>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</si>
  <si>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</si>
  <si>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</si>
  <si>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</si>
  <si>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</si>
  <si>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</si>
  <si>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</si>
  <si>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</si>
  <si>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</si>
  <si>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</si>
  <si>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</si>
  <si>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</si>
  <si>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</si>
  <si>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</si>
  <si>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</si>
  <si>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</si>
  <si>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</si>
  <si>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</si>
  <si>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</si>
  <si>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</si>
  <si>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</si>
  <si>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</si>
  <si>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</si>
  <si>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</si>
  <si>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</si>
  <si>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</si>
  <si>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</si>
  <si>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</si>
  <si>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</si>
  <si>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</si>
  <si>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</si>
  <si>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</si>
  <si>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</si>
  <si>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</si>
  <si>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</si>
  <si>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</si>
  <si>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</si>
  <si>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</si>
  <si>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</si>
  <si>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</si>
  <si>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</si>
  <si>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</si>
  <si>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</si>
  <si>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</si>
  <si>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</si>
  <si>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</si>
  <si>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</si>
  <si>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</si>
  <si>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</si>
  <si>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</si>
  <si>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</si>
  <si>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</si>
  <si>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</si>
  <si>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</si>
  <si>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</si>
  <si>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</si>
  <si>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</si>
  <si>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</si>
  <si>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</si>
  <si>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</si>
  <si>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</si>
  <si>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</si>
  <si>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</si>
  <si>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</si>
  <si>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</si>
  <si>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</si>
  <si>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</si>
  <si>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</si>
  <si>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</si>
  <si>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</si>
  <si>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</si>
  <si>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</si>
  <si>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</si>
  <si>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</si>
  <si>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</si>
  <si>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</si>
  <si>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</si>
  <si>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</si>
  <si>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</si>
  <si>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</si>
  <si>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</si>
  <si>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</si>
  <si>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</si>
  <si>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</si>
  <si>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</si>
  <si>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</si>
  <si>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</si>
  <si>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</si>
  <si>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</si>
  <si>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</si>
  <si>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</si>
  <si>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</si>
  <si>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</si>
  <si>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</si>
  <si>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</si>
  <si>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</si>
  <si>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</si>
  <si>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</si>
  <si>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</si>
  <si>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</si>
  <si>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</si>
  <si>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</si>
  <si>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</si>
  <si>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</si>
  <si>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</si>
  <si>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</si>
  <si>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</si>
  <si>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</si>
  <si>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</si>
  <si>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</si>
  <si>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</si>
  <si>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</si>
  <si>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</si>
  <si>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</si>
  <si>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</si>
  <si>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</si>
  <si>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</si>
  <si>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</si>
  <si>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</si>
  <si>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</si>
  <si>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</si>
  <si>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</si>
  <si>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</si>
  <si>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</si>
  <si>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</si>
  <si>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</si>
  <si>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</si>
  <si>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</si>
  <si>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</si>
  <si>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</si>
  <si>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</si>
  <si>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</si>
  <si>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</si>
  <si>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</si>
  <si>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</si>
  <si>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</si>
  <si>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</si>
  <si>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</si>
  <si>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</si>
  <si>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</si>
  <si>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</si>
  <si>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</si>
  <si>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</si>
  <si>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</si>
  <si>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</si>
  <si>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</si>
  <si>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</si>
  <si>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</si>
  <si>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</si>
  <si>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</si>
  <si>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</si>
  <si>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</si>
  <si>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</si>
  <si>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</si>
  <si>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</si>
  <si>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</si>
  <si>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</si>
  <si>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</si>
  <si>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</si>
  <si>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</si>
  <si>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</si>
  <si>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</si>
  <si>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</si>
  <si>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</si>
  <si>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</si>
  <si>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</si>
  <si>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</si>
  <si>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</si>
  <si>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</si>
  <si>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</si>
  <si>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</si>
  <si>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</si>
  <si>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</si>
  <si>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</si>
  <si>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</si>
  <si>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</si>
  <si>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</si>
  <si>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</si>
  <si>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</si>
  <si>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</si>
  <si>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</si>
  <si>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</si>
  <si>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</si>
  <si>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</si>
  <si>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</si>
  <si>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</si>
  <si>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</si>
  <si>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</si>
  <si>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</si>
  <si>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</si>
  <si>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</si>
  <si>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</si>
  <si>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</si>
  <si>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</si>
  <si>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</si>
  <si>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</si>
  <si>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</si>
  <si>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</si>
  <si>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</si>
  <si>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</si>
  <si>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</si>
  <si>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</si>
  <si>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</si>
  <si>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</si>
  <si>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</si>
  <si>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</si>
  <si>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</si>
  <si>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</si>
  <si>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</si>
  <si>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</si>
  <si>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</si>
  <si>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</si>
  <si>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</si>
  <si>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</si>
  <si>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</si>
  <si>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</si>
  <si>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</si>
  <si>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</si>
  <si>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</si>
  <si>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</si>
  <si>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</si>
  <si>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</si>
  <si>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</si>
  <si>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</si>
  <si>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</si>
  <si>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</si>
  <si>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</si>
  <si>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</si>
  <si>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</si>
  <si>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</si>
  <si>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</si>
  <si>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</si>
  <si>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</si>
  <si>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</si>
  <si>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</si>
  <si>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</si>
  <si>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</si>
  <si>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</si>
  <si>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</si>
  <si>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</si>
  <si>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</si>
  <si>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</si>
  <si>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</si>
  <si>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</si>
  <si>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</si>
  <si>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</si>
  <si>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</si>
  <si>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</si>
  <si>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</si>
  <si>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</si>
  <si>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</si>
  <si>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</si>
  <si>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</si>
  <si>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</si>
  <si>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</si>
  <si>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</si>
  <si>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</si>
  <si>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</si>
  <si>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</si>
  <si>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</si>
  <si>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</si>
  <si>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</si>
  <si>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</si>
  <si>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</si>
  <si>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</si>
  <si>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</si>
  <si>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</si>
  <si>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</si>
  <si>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</si>
  <si>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</si>
  <si>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</si>
  <si>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</si>
  <si>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</si>
  <si>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</si>
  <si>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</si>
  <si>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</si>
  <si>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</si>
  <si>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</si>
  <si>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</si>
  <si>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</si>
  <si>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</si>
  <si>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</si>
  <si>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</si>
  <si>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</si>
  <si>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</si>
  <si>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</si>
  <si>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</si>
  <si>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</si>
  <si>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</si>
  <si>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</si>
  <si>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</si>
  <si>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</si>
  <si>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</si>
  <si>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</si>
  <si>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</si>
  <si>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</si>
  <si>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</si>
  <si>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</si>
  <si>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</si>
  <si>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</si>
  <si>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</si>
  <si>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</si>
  <si>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</si>
  <si>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</si>
  <si>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</si>
  <si>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</si>
  <si>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</si>
  <si>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</si>
  <si>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</si>
  <si>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</si>
  <si>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</si>
  <si>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</si>
  <si>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</si>
  <si>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</si>
  <si>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</si>
  <si>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</si>
  <si>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</si>
  <si>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</si>
  <si>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</si>
  <si>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</si>
  <si>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</si>
  <si>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</si>
  <si>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</si>
  <si>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</si>
  <si>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</si>
  <si>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</si>
  <si>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</si>
  <si>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</si>
  <si>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</si>
  <si>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</si>
  <si>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</si>
  <si>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</si>
  <si>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</si>
  <si>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</si>
  <si>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</si>
  <si>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</si>
  <si>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</si>
  <si>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</si>
  <si>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</si>
  <si>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</si>
  <si>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</si>
  <si>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</si>
  <si>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</si>
  <si>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</si>
  <si>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</si>
  <si>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</si>
  <si>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</si>
  <si>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</si>
  <si>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</si>
  <si>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</si>
  <si>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</si>
  <si>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</si>
  <si>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</si>
  <si>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</si>
  <si>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</si>
  <si>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</si>
  <si>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</si>
  <si>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</si>
  <si>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</si>
  <si>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</si>
  <si>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</si>
  <si>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</si>
  <si>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</si>
  <si>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</si>
  <si>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</si>
  <si>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</si>
  <si>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</si>
  <si>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</si>
  <si>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</si>
  <si>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</si>
  <si>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</si>
  <si>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</si>
  <si>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</si>
  <si>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</si>
  <si>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</si>
  <si>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</si>
  <si>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</si>
  <si>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</si>
  <si>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</si>
  <si>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</si>
  <si>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</si>
  <si>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</si>
  <si>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</si>
  <si>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</si>
  <si>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</si>
  <si>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</si>
  <si>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</si>
  <si>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</si>
  <si>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</si>
  <si>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</si>
  <si>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</si>
  <si>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</si>
  <si>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</si>
  <si>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</si>
  <si>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</si>
  <si>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</si>
  <si>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</si>
  <si>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</si>
  <si>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</si>
  <si>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</si>
  <si>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</si>
  <si>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</si>
  <si>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</si>
  <si>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</si>
  <si>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</si>
  <si>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</si>
  <si>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</si>
  <si>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</si>
  <si>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</si>
  <si>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</si>
  <si>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</si>
  <si>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</si>
  <si>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</si>
  <si>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</si>
  <si>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</si>
  <si>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</si>
  <si>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</si>
  <si>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</si>
  <si>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</si>
  <si>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</si>
  <si>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</si>
  <si>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</si>
  <si>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</si>
  <si>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</si>
  <si>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</si>
  <si>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</si>
  <si>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</si>
  <si>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</si>
  <si>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</si>
  <si>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</si>
  <si>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</si>
  <si>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</si>
  <si>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</si>
  <si>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</si>
  <si>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</si>
  <si>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</si>
  <si>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</si>
  <si>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</si>
  <si>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</si>
  <si>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</si>
  <si>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</si>
  <si>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</si>
  <si>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</si>
  <si>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</si>
  <si>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</si>
  <si>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</si>
  <si>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</si>
  <si>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</si>
  <si>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</si>
  <si>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</si>
  <si>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</si>
  <si>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</si>
  <si>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</si>
  <si>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</si>
  <si>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</si>
  <si>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</si>
  <si>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</si>
  <si>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</si>
  <si>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</si>
  <si>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</si>
  <si>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</si>
  <si>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</si>
  <si>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</si>
  <si>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</si>
  <si>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</si>
  <si>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</si>
  <si>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</si>
  <si>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</si>
  <si>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</si>
  <si>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</si>
  <si>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</si>
  <si>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</si>
  <si>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</si>
  <si>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</si>
  <si>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</si>
  <si>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</si>
  <si>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</si>
  <si>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</si>
  <si>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</si>
  <si>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</si>
  <si>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</si>
  <si>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</si>
  <si>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</si>
  <si>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</si>
  <si>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</si>
  <si>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</si>
  <si>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</si>
  <si>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</si>
  <si>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</si>
  <si>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</si>
  <si>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</si>
  <si>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</si>
  <si>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</si>
  <si>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</si>
  <si>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</si>
  <si>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</si>
  <si>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</si>
  <si>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</si>
  <si>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</si>
  <si>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</si>
  <si>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</si>
  <si>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</si>
  <si>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</si>
  <si>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</si>
  <si>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</si>
  <si>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</si>
  <si>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</si>
  <si>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</si>
  <si>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</si>
  <si>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</si>
  <si>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</si>
  <si>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</si>
  <si>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</si>
  <si>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</si>
  <si>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</si>
  <si>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</si>
  <si>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</si>
  <si>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</si>
  <si>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</si>
  <si>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</si>
  <si>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</si>
  <si>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</si>
  <si>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</si>
  <si>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</si>
  <si>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</si>
  <si>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</si>
  <si>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</si>
  <si>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</si>
  <si>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</si>
  <si>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</si>
  <si>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</si>
  <si>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</si>
  <si>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</si>
  <si>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</si>
  <si>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</si>
  <si>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</si>
  <si>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</si>
  <si>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</si>
  <si>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</si>
  <si>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</si>
  <si>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</si>
  <si>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</si>
  <si>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</si>
  <si>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</si>
  <si>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</si>
  <si>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</si>
  <si>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</si>
  <si>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</si>
  <si>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</si>
  <si>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</si>
  <si>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</si>
  <si>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</si>
  <si>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</si>
  <si>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</si>
  <si>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</si>
  <si>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</si>
  <si>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</si>
  <si>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</si>
  <si>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</si>
  <si>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</si>
  <si>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</si>
  <si>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</si>
  <si>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</si>
  <si>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</si>
  <si>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</si>
  <si>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</si>
  <si>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</si>
  <si>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</si>
  <si>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</si>
  <si>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</si>
  <si>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</si>
  <si>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</si>
  <si>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</si>
  <si>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</si>
  <si>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</si>
  <si>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</si>
  <si>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</si>
  <si>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</si>
  <si>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</si>
  <si>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</si>
  <si>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</si>
  <si>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</si>
  <si>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</si>
  <si>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</si>
  <si>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</si>
  <si>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</si>
  <si>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</si>
  <si>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</si>
  <si>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</si>
  <si>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</si>
  <si>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</si>
  <si>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</si>
  <si>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</si>
  <si>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</si>
  <si>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</si>
  <si>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</si>
  <si>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</si>
  <si>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</si>
  <si>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</si>
  <si>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</si>
  <si>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</si>
  <si>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</si>
  <si>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</si>
  <si>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</si>
  <si>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</si>
  <si>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</si>
  <si>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</si>
  <si>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</si>
  <si>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</si>
  <si>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</si>
  <si>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</si>
  <si>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</si>
  <si>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</si>
  <si>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</si>
  <si>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</si>
  <si>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</si>
  <si>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</si>
  <si>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</si>
  <si>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</si>
  <si>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</si>
  <si>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</si>
  <si>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</si>
  <si>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</si>
  <si>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</si>
  <si>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</si>
  <si>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</si>
  <si>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</si>
  <si>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</si>
  <si>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</si>
  <si>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</si>
  <si>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</si>
  <si>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</si>
  <si>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</si>
  <si>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</si>
  <si>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</si>
  <si>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</si>
  <si>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</si>
  <si>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</si>
  <si>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</si>
  <si>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</si>
  <si>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</si>
  <si>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</si>
  <si>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</si>
  <si>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</si>
  <si>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</si>
  <si>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</si>
  <si>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</si>
  <si>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</si>
  <si>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</si>
  <si>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</si>
  <si>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</si>
  <si>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</si>
  <si>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</si>
  <si>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</si>
  <si>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</si>
  <si>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</si>
  <si>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</si>
  <si>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</si>
  <si>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</si>
  <si>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</si>
  <si>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</si>
  <si>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</si>
  <si>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</si>
  <si>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</si>
  <si>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</si>
  <si>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</si>
  <si>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</si>
  <si>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</si>
  <si>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</si>
  <si>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</si>
  <si>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</si>
  <si>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</si>
  <si>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</si>
  <si>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</si>
  <si>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</si>
  <si>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</si>
  <si>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</si>
  <si>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</si>
  <si>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</si>
  <si>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</si>
  <si>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</si>
  <si>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</si>
  <si>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</si>
  <si>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</si>
  <si>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</si>
  <si>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</si>
  <si>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</si>
  <si>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</si>
  <si>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</si>
  <si>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</si>
  <si>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</si>
  <si>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</si>
  <si>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</si>
  <si>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</si>
  <si>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</si>
  <si>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</si>
  <si>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</si>
  <si>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</si>
  <si>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</si>
  <si>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</si>
  <si>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</si>
  <si>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</si>
  <si>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</si>
  <si>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</si>
  <si>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</si>
  <si>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</si>
  <si>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</si>
  <si>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</si>
  <si>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</si>
  <si>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</si>
  <si>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</si>
  <si>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</si>
  <si>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</si>
  <si>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</si>
  <si>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</si>
  <si>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</si>
  <si>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</si>
  <si>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</si>
  <si>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</si>
  <si>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</si>
  <si>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</si>
  <si>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</si>
  <si>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</si>
  <si>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</si>
  <si>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</si>
  <si>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</si>
  <si>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</si>
  <si>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</si>
  <si>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</si>
  <si>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</si>
  <si>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</si>
  <si>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</si>
  <si>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</si>
  <si>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</si>
  <si>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</si>
  <si>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</si>
  <si>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</si>
  <si>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</si>
  <si>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</si>
  <si>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</si>
  <si>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</si>
  <si>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</si>
  <si>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</si>
  <si>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</si>
  <si>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</si>
  <si>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</si>
  <si>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</si>
  <si>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</si>
  <si>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</si>
  <si>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</si>
  <si>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</si>
  <si>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</si>
  <si>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</si>
  <si>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</si>
  <si>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</si>
  <si>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</si>
  <si>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</si>
  <si>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</si>
  <si>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</si>
  <si>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</si>
  <si>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</si>
  <si>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</si>
  <si>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</si>
  <si>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</si>
  <si>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</si>
  <si>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</si>
  <si>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</si>
  <si>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</si>
  <si>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</si>
  <si>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</si>
  <si>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</si>
  <si>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</si>
  <si>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</si>
  <si>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</si>
  <si>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</si>
  <si>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</si>
  <si>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</si>
  <si>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</si>
  <si>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</si>
  <si>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</si>
  <si>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</si>
  <si>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</si>
  <si>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</si>
  <si>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</si>
  <si>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</si>
  <si>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</si>
  <si>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</si>
  <si>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</si>
  <si>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</si>
  <si>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</si>
  <si>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</si>
  <si>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</si>
  <si>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</si>
  <si>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</si>
  <si>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</si>
  <si>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</si>
  <si>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</si>
  <si>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</si>
  <si>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</si>
  <si>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</si>
  <si>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</si>
  <si>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</si>
  <si>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</si>
  <si>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</si>
  <si>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</si>
  <si>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</si>
  <si>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</si>
  <si>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</si>
  <si>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</si>
  <si>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</si>
  <si>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</si>
  <si>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</si>
  <si>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</si>
  <si>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</si>
  <si>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</si>
  <si>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</si>
  <si>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</si>
  <si>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</si>
  <si>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</si>
  <si>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</si>
  <si>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</si>
  <si>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</si>
  <si>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</si>
  <si>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</si>
  <si>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</si>
  <si>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</si>
  <si>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</si>
  <si>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</si>
  <si>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</si>
  <si>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</si>
  <si>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</si>
  <si>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</si>
  <si>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</si>
  <si>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</si>
  <si>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</si>
  <si>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</si>
  <si>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</si>
  <si>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</si>
  <si>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</si>
  <si>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</si>
  <si>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</si>
  <si>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</si>
  <si>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</si>
  <si>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</si>
  <si>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</si>
  <si>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</si>
  <si>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</si>
  <si>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</si>
  <si>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</si>
  <si>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</si>
  <si>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</si>
  <si>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</si>
  <si>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</si>
  <si>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</si>
  <si>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</si>
  <si>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</si>
  <si>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</si>
  <si>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</si>
  <si>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</si>
  <si>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</si>
  <si>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</si>
  <si>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</si>
  <si>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</si>
  <si>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</si>
  <si>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</si>
  <si>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</si>
  <si>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</si>
  <si>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</si>
  <si>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</si>
  <si>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</si>
  <si>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</si>
  <si>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</si>
  <si>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</si>
  <si>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</si>
  <si>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</si>
  <si>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</si>
  <si>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</si>
  <si>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</si>
  <si>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</si>
  <si>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</si>
  <si>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</si>
  <si>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</si>
  <si>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</si>
  <si>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</si>
  <si>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</si>
  <si>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</si>
  <si>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</si>
  <si>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</si>
  <si>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</si>
  <si>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</si>
  <si>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</si>
  <si>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</si>
  <si>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</si>
  <si>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</si>
  <si>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</si>
  <si>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</si>
  <si>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</si>
  <si>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</si>
  <si>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</si>
  <si>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</si>
  <si>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</si>
  <si>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</si>
  <si>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</si>
  <si>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</si>
  <si>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</si>
  <si>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</si>
  <si>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</si>
  <si>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</si>
  <si>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</si>
  <si>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</si>
  <si>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</si>
  <si>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</si>
  <si>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</si>
  <si>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</si>
  <si>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</si>
  <si>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</si>
  <si>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</si>
  <si>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</si>
  <si>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</si>
  <si>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</si>
  <si>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</si>
  <si>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</si>
  <si>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</si>
  <si>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</si>
  <si>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</si>
  <si>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</si>
  <si>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</si>
  <si>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</si>
  <si>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</si>
  <si>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</si>
  <si>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</si>
  <si>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</si>
  <si>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</si>
  <si>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</si>
  <si>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</si>
  <si>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</si>
  <si>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</si>
  <si>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</si>
  <si>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</si>
  <si>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</si>
  <si>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</si>
  <si>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</si>
  <si>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</si>
  <si>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</si>
  <si>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</si>
  <si>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</si>
  <si>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</si>
  <si>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</si>
  <si>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</si>
  <si>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</si>
  <si>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</si>
  <si>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</si>
  <si>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</si>
  <si>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</si>
  <si>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</si>
  <si>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</si>
  <si>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</si>
  <si>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</si>
  <si>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</si>
  <si>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</si>
  <si>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</si>
  <si>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</si>
  <si>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</si>
  <si>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</si>
  <si>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</si>
  <si>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</si>
  <si>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</si>
  <si>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</si>
  <si>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</si>
  <si>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</si>
  <si>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</si>
  <si>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</si>
  <si>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</si>
  <si>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</si>
  <si>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</si>
  <si>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</si>
  <si>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</si>
  <si>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</si>
  <si>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</si>
  <si>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</si>
  <si>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</si>
  <si>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</si>
  <si>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</si>
  <si>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</si>
  <si>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</si>
  <si>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</si>
  <si>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</si>
  <si>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</si>
  <si>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</si>
  <si>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</si>
  <si>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</si>
  <si>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</si>
  <si>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</si>
  <si>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</si>
  <si>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</si>
  <si>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</si>
  <si>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</si>
  <si>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</si>
  <si>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</si>
  <si>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</si>
  <si>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</si>
  <si>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</si>
  <si>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</si>
  <si>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</si>
  <si>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</si>
  <si>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</si>
  <si>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</si>
  <si>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</si>
  <si>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</si>
  <si>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</si>
  <si>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</si>
  <si>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</si>
  <si>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</si>
  <si>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</si>
  <si>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</si>
  <si>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</si>
  <si>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</si>
  <si>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</si>
  <si>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</si>
  <si>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</si>
  <si>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</si>
  <si>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</si>
  <si>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</si>
  <si>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</si>
  <si>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</si>
  <si>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</si>
  <si>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</si>
  <si>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</si>
  <si>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</si>
  <si>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</si>
  <si>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</si>
  <si>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</si>
  <si>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</si>
  <si>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</si>
  <si>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</si>
  <si>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</si>
  <si>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</si>
  <si>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</si>
  <si>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</si>
  <si>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</si>
  <si>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</si>
  <si>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</si>
  <si>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</si>
  <si>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</si>
  <si>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</si>
  <si>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</si>
  <si>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</si>
  <si>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</si>
  <si>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</si>
  <si>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</si>
  <si>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</si>
  <si>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</si>
  <si>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</si>
  <si>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</si>
  <si>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</si>
  <si>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</si>
  <si>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</si>
  <si>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</si>
  <si>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</si>
  <si>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</si>
  <si>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</si>
  <si>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</si>
  <si>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</si>
  <si>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</si>
  <si>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</si>
  <si>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</si>
  <si>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</si>
  <si>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</si>
  <si>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</si>
  <si>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</si>
  <si>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</si>
  <si>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</si>
  <si>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</si>
  <si>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</si>
  <si>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</si>
  <si>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</si>
  <si>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</si>
  <si>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</si>
  <si>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</si>
  <si>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</si>
  <si>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</si>
  <si>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</si>
  <si>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</si>
  <si>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</si>
  <si>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</si>
  <si>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</si>
  <si>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</si>
  <si>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</si>
  <si>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</si>
  <si>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</si>
  <si>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</si>
  <si>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</si>
  <si>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</si>
  <si>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</si>
  <si>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</si>
  <si>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</si>
  <si>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</si>
  <si>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</si>
  <si>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</si>
  <si>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</si>
  <si>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</si>
  <si>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</si>
  <si>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</si>
  <si>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</si>
  <si>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</si>
  <si>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</si>
  <si>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</si>
  <si>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</si>
  <si>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</si>
  <si>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</si>
  <si>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</si>
  <si>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</si>
  <si>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</si>
  <si>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</si>
  <si>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</si>
  <si>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</si>
  <si>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</si>
  <si>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</si>
  <si>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</si>
  <si>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</si>
  <si>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</si>
  <si>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</si>
  <si>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</si>
  <si>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</si>
  <si>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</si>
  <si>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</si>
  <si>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</si>
  <si>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</si>
  <si>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</si>
  <si>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</si>
  <si>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</si>
  <si>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</si>
  <si>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</si>
  <si>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</si>
  <si>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</si>
  <si>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</si>
  <si>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</si>
  <si>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</si>
  <si>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</si>
  <si>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</si>
  <si>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</si>
  <si>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</si>
  <si>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</si>
  <si>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</si>
  <si>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</si>
  <si>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</si>
  <si>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</si>
  <si>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</si>
  <si>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</si>
  <si>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</si>
  <si>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</si>
  <si>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</si>
  <si>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</si>
  <si>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</si>
  <si>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</si>
  <si>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</si>
  <si>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</si>
  <si>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</si>
  <si>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</si>
  <si>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</si>
  <si>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</si>
  <si>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</si>
  <si>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</si>
  <si>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</si>
  <si>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</si>
  <si>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</si>
  <si>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</si>
  <si>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</si>
  <si>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</si>
  <si>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</si>
  <si>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</si>
  <si>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</si>
  <si>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</si>
  <si>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</si>
  <si>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</si>
  <si>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</si>
  <si>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</si>
  <si>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</si>
  <si>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</si>
  <si>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</si>
  <si>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</si>
  <si>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</si>
  <si>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</si>
  <si>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</si>
  <si>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</si>
  <si>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</si>
  <si>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</si>
  <si>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</si>
  <si>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</si>
  <si>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</si>
  <si>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</si>
  <si>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</si>
  <si>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</si>
  <si>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</si>
  <si>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</si>
  <si>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</si>
  <si>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</si>
  <si>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</si>
  <si>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</si>
  <si>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</si>
  <si>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</si>
  <si>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</si>
  <si>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</si>
  <si>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</si>
  <si>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</si>
  <si>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</si>
  <si>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</si>
  <si>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</si>
  <si>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</si>
  <si>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</si>
  <si>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</si>
  <si>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</si>
  <si>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</si>
  <si>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</si>
  <si>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</si>
  <si>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</si>
  <si>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</si>
  <si>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</si>
  <si>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</si>
  <si>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</si>
  <si>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</si>
  <si>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</si>
  <si>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</si>
  <si>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</si>
  <si>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</si>
  <si>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</si>
  <si>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</si>
  <si>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</si>
  <si>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</si>
  <si>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</si>
  <si>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</si>
  <si>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</si>
  <si>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</si>
  <si>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</si>
  <si>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</si>
  <si>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</si>
  <si>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</si>
  <si>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</si>
  <si>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</si>
  <si>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</si>
  <si>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</si>
  <si>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</si>
  <si>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</si>
  <si>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</si>
  <si>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</si>
  <si>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</si>
  <si>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</si>
  <si>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</si>
  <si>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</si>
  <si>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</si>
  <si>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</si>
  <si>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</si>
  <si>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</si>
  <si>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</si>
  <si>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</si>
  <si>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</si>
  <si>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</si>
  <si>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</si>
  <si>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</si>
  <si>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</si>
  <si>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</si>
  <si>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</si>
  <si>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</si>
  <si>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</si>
  <si>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</si>
  <si>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</si>
  <si>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</si>
  <si>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</si>
  <si>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</si>
  <si>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</si>
  <si>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</si>
  <si>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</si>
  <si>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</si>
  <si>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</si>
  <si>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</si>
  <si>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</si>
  <si>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</si>
  <si>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</si>
  <si>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</si>
  <si>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</si>
  <si>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</si>
  <si>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</si>
  <si>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</si>
  <si>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</si>
  <si>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</si>
  <si>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</si>
  <si>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</si>
  <si>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</si>
  <si>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</si>
  <si>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</si>
  <si>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</si>
  <si>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</si>
  <si>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</si>
  <si>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</si>
  <si>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</si>
  <si>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</si>
  <si>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</si>
  <si>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</si>
  <si>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</si>
  <si>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</si>
  <si>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</si>
  <si>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</si>
  <si>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</si>
  <si>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</si>
  <si>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</si>
  <si>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</si>
  <si>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</si>
  <si>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</si>
  <si>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</si>
  <si>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</si>
  <si>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</si>
  <si>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</si>
  <si>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</si>
  <si>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</si>
  <si>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</si>
  <si>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</si>
  <si>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</si>
  <si>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</si>
  <si>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</si>
  <si>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</si>
  <si>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</si>
  <si>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</si>
  <si>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</si>
  <si>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</si>
  <si>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</si>
  <si>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</si>
  <si>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</si>
  <si>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</si>
  <si>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</si>
  <si>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</si>
  <si>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</si>
  <si>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</si>
  <si>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</si>
  <si>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</si>
  <si>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</si>
  <si>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</si>
  <si>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</si>
  <si>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</si>
  <si>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</si>
  <si>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</si>
  <si>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</si>
  <si>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</si>
  <si>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</si>
  <si>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</si>
  <si>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</si>
  <si>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</si>
  <si>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</si>
  <si>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</si>
  <si>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</si>
  <si>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</si>
  <si>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</si>
  <si>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</si>
  <si>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</si>
  <si>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</si>
  <si>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</si>
  <si>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</si>
  <si>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</si>
  <si>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</si>
  <si>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</si>
  <si>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</si>
  <si>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</si>
  <si>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</si>
  <si>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</si>
  <si>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</si>
  <si>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</si>
  <si>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</si>
  <si>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</si>
  <si>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</si>
  <si>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</si>
  <si>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</si>
  <si>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</si>
  <si>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</si>
  <si>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</si>
  <si>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</si>
  <si>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</si>
  <si>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</si>
  <si>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</si>
  <si>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</si>
  <si>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</si>
  <si>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</si>
  <si>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</si>
  <si>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</si>
  <si>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</si>
  <si>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</si>
  <si>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</si>
  <si>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</si>
  <si>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</si>
  <si>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</si>
  <si>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</si>
  <si>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</si>
  <si>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</si>
  <si>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</si>
  <si>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</si>
  <si>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</si>
  <si>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</si>
  <si>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</si>
  <si>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</si>
  <si>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</si>
  <si>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</si>
  <si>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</si>
  <si>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</si>
  <si>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</si>
  <si>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</si>
  <si>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</si>
  <si>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</si>
  <si>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</si>
  <si>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</si>
  <si>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</si>
  <si>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</si>
  <si>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</si>
  <si>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</si>
  <si>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</si>
  <si>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</si>
  <si>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</si>
  <si>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</si>
  <si>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</si>
  <si>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</si>
  <si>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</si>
  <si>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</si>
  <si>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</si>
  <si>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</si>
  <si>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</si>
  <si>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</si>
  <si>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</si>
  <si>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</si>
  <si>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</si>
  <si>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</si>
  <si>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</si>
  <si>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</si>
  <si>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</si>
  <si>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</si>
  <si>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</si>
  <si>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</si>
  <si>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</si>
  <si>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</si>
  <si>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</si>
  <si>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</si>
  <si>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</si>
  <si>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</si>
  <si>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</si>
  <si>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</si>
  <si>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</si>
  <si>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</si>
  <si>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</si>
  <si>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</si>
  <si>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</si>
  <si>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</si>
  <si>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</si>
  <si>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</si>
  <si>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</si>
  <si>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</si>
  <si>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</si>
  <si>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</si>
  <si>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</si>
  <si>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</si>
  <si>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</si>
  <si>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</si>
  <si>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</si>
  <si>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</si>
  <si>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</si>
  <si>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</si>
  <si>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</si>
  <si>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</si>
  <si>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</si>
  <si>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</si>
  <si>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</si>
  <si>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</si>
  <si>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</si>
  <si>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</si>
  <si>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</si>
  <si>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</si>
  <si>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</si>
  <si>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</si>
  <si>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</si>
  <si>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</si>
  <si>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</si>
  <si>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</si>
  <si>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</si>
  <si>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</si>
  <si>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</si>
  <si>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</si>
  <si>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</si>
  <si>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</si>
  <si>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</si>
  <si>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</si>
  <si>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</si>
  <si>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</si>
  <si>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</si>
  <si>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</si>
  <si>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</si>
  <si>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</si>
  <si>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</si>
  <si>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</si>
  <si>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</si>
  <si>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</si>
  <si>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</si>
  <si>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</si>
  <si>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</si>
  <si>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</si>
  <si>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</si>
  <si>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</si>
  <si>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</si>
  <si>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</si>
  <si>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</si>
  <si>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</si>
  <si>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</si>
  <si>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</si>
  <si>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</si>
  <si>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</si>
  <si>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</si>
  <si>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</si>
  <si>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</si>
  <si>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</si>
  <si>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</si>
  <si>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</si>
  <si>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</si>
  <si>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</si>
  <si>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</si>
  <si>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</si>
  <si>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</si>
  <si>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</si>
  <si>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</si>
  <si>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</si>
  <si>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</si>
  <si>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</si>
  <si>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</si>
  <si>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</si>
  <si>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</si>
  <si>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</si>
  <si>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</si>
  <si>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</si>
  <si>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</si>
  <si>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</si>
  <si>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</si>
  <si>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</si>
  <si>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</si>
  <si>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</si>
  <si>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</si>
  <si>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</si>
  <si>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</si>
  <si>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</si>
  <si>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</si>
  <si>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</si>
  <si>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</si>
  <si>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</si>
  <si>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</si>
  <si>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</si>
  <si>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</si>
  <si>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</si>
  <si>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</si>
  <si>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</si>
  <si>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</si>
  <si>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</si>
  <si>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</si>
  <si>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</si>
  <si>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</si>
  <si>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</si>
  <si>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</si>
  <si>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</si>
  <si>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</si>
  <si>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</si>
  <si>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</si>
  <si>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</si>
  <si>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</si>
  <si>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</si>
  <si>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</si>
  <si>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</si>
  <si>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</si>
  <si>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</si>
  <si>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</si>
  <si>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</si>
  <si>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</si>
  <si>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</si>
  <si>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</si>
  <si>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</si>
  <si>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</si>
  <si>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</si>
  <si>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</si>
  <si>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</si>
  <si>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</si>
  <si>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</si>
  <si>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</si>
  <si>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</si>
  <si>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</si>
  <si>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</si>
  <si>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</si>
  <si>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</si>
  <si>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</si>
  <si>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</si>
  <si>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</si>
  <si>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</si>
  <si>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</si>
  <si>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</si>
  <si>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</si>
  <si>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</si>
  <si>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</si>
  <si>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</si>
  <si>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</si>
  <si>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</si>
  <si>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</si>
  <si>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</si>
  <si>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</si>
  <si>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</si>
  <si>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</si>
  <si>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</si>
  <si>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</si>
  <si>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</si>
  <si>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</si>
  <si>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</si>
  <si>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</si>
  <si>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</si>
  <si>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</si>
  <si>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</si>
  <si>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</si>
  <si>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</si>
  <si>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</si>
  <si>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</si>
  <si>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</si>
  <si>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</si>
  <si>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</si>
  <si>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</si>
  <si>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</si>
  <si>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</si>
  <si>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</si>
  <si>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</si>
  <si>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</si>
  <si>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</si>
  <si>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</si>
  <si>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</si>
  <si>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</si>
  <si>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</si>
  <si>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</si>
  <si>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</si>
  <si>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</si>
  <si>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</si>
  <si>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</si>
  <si>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</si>
  <si>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</si>
  <si>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</si>
  <si>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</si>
  <si>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</si>
  <si>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</si>
  <si>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</si>
  <si>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</si>
  <si>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</si>
  <si>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</si>
  <si>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</si>
  <si>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</si>
  <si>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</si>
  <si>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</si>
  <si>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</si>
  <si>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</si>
  <si>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</si>
  <si>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</si>
  <si>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</si>
  <si>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</si>
  <si>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</si>
  <si>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</si>
  <si>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</si>
  <si>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</si>
  <si>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</si>
  <si>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</si>
  <si>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</si>
  <si>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</si>
  <si>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</si>
  <si>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</si>
  <si>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</si>
  <si>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</si>
  <si>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</si>
  <si>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</si>
  <si>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</si>
  <si>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</si>
  <si>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</si>
  <si>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</si>
  <si>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</si>
  <si>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</si>
  <si>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</si>
  <si>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</si>
  <si>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</si>
  <si>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</si>
  <si>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</si>
  <si>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</si>
  <si>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</si>
  <si>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</si>
  <si>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</si>
  <si>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</si>
  <si>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</si>
  <si>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</si>
  <si>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</si>
  <si>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</si>
  <si>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</si>
  <si>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</si>
  <si>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</si>
  <si>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</si>
  <si>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</si>
  <si>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</si>
  <si>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</si>
  <si>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</si>
  <si>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</si>
  <si>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</si>
  <si>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</si>
  <si>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</si>
  <si>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</si>
  <si>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</si>
  <si>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</si>
  <si>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</si>
  <si>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</si>
  <si>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</si>
  <si>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</si>
  <si>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</si>
  <si>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</si>
  <si>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</si>
  <si>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</si>
  <si>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</si>
  <si>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</si>
  <si>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</si>
  <si>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</si>
  <si>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</si>
  <si>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</si>
  <si>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</si>
  <si>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</si>
  <si>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</si>
  <si>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</si>
  <si>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</si>
  <si>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</si>
  <si>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</si>
  <si>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</si>
  <si>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</si>
  <si>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</si>
  <si>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</si>
  <si>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</si>
  <si>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</si>
  <si>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</si>
  <si>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</si>
  <si>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</si>
  <si>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</si>
  <si>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</si>
  <si>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</si>
  <si>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</si>
  <si>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</si>
  <si>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</si>
  <si>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</si>
  <si>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</si>
  <si>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</si>
  <si>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</si>
  <si>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</si>
  <si>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</si>
  <si>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</si>
  <si>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</si>
  <si>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</si>
  <si>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</si>
  <si>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</si>
  <si>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</si>
  <si>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</si>
  <si>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</si>
  <si>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</si>
  <si>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</si>
  <si>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</si>
  <si>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</si>
  <si>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</si>
  <si>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</si>
  <si>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</si>
  <si>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</si>
  <si>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</si>
  <si>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</si>
  <si>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</si>
  <si>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</si>
  <si>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</si>
  <si>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</si>
  <si>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</si>
  <si>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</si>
  <si>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</si>
  <si>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</si>
  <si>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</si>
  <si>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</si>
  <si>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</si>
  <si>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</si>
  <si>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</si>
  <si>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</si>
  <si>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</si>
  <si>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</si>
  <si>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</si>
  <si>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</si>
  <si>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</si>
  <si>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</si>
  <si>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</si>
  <si>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</si>
  <si>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</si>
  <si>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</si>
  <si>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</si>
  <si>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</si>
  <si>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</si>
  <si>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</si>
  <si>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</si>
  <si>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</si>
  <si>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</si>
  <si>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</si>
  <si>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</si>
  <si>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</si>
  <si>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</si>
  <si>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</si>
  <si>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</si>
  <si>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</si>
  <si>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</si>
  <si>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</si>
  <si>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</si>
  <si>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</si>
  <si>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</si>
  <si>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</si>
  <si>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</si>
  <si>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</si>
  <si>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</si>
  <si>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</si>
  <si>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</si>
  <si>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</si>
  <si>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</si>
  <si>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</si>
  <si>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</si>
  <si>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</si>
  <si>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</si>
  <si>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</si>
  <si>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</si>
  <si>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</si>
  <si>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</si>
  <si>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</si>
  <si>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</si>
  <si>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</si>
  <si>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</si>
  <si>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</si>
  <si>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</si>
  <si>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</si>
  <si>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</si>
  <si>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</si>
  <si>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</si>
  <si>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</si>
  <si>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</si>
  <si>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</si>
  <si>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</si>
  <si>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</si>
  <si>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</si>
  <si>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</si>
  <si>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</si>
  <si>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</si>
  <si>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</si>
  <si>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</si>
  <si>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</si>
  <si>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</si>
  <si>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</si>
  <si>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</si>
  <si>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</si>
  <si>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</si>
  <si>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</si>
  <si>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</si>
  <si>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</si>
  <si>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</si>
  <si>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</si>
  <si>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</si>
  <si>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</si>
  <si>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</si>
  <si>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</si>
  <si>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</si>
  <si>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</si>
  <si>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</si>
  <si>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</si>
  <si>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</si>
  <si>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</si>
  <si>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</si>
  <si>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</si>
  <si>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</si>
  <si>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</si>
  <si>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</si>
  <si>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</si>
  <si>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</si>
  <si>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</si>
  <si>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</si>
  <si>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</si>
  <si>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</si>
  <si>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</si>
  <si>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</si>
  <si>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</si>
  <si>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</si>
  <si>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</si>
  <si>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</si>
  <si>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</si>
  <si>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</si>
  <si>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</si>
  <si>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</si>
  <si>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</si>
  <si>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</si>
  <si>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</si>
  <si>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</si>
  <si>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</si>
  <si>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</si>
  <si>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</si>
  <si>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</si>
  <si>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</si>
  <si>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</si>
  <si>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</si>
  <si>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</si>
  <si>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</si>
  <si>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</si>
  <si>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</si>
  <si>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</si>
  <si>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</si>
  <si>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</si>
  <si>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</si>
  <si>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</si>
  <si>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</si>
  <si>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</si>
  <si>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</si>
  <si>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</si>
  <si>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</si>
  <si>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</si>
  <si>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</si>
  <si>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</si>
  <si>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</si>
  <si>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</si>
  <si>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</si>
  <si>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</si>
  <si>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</si>
  <si>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</si>
  <si>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</si>
  <si>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</si>
  <si>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</si>
  <si>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</si>
  <si>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</si>
  <si>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</si>
  <si>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</si>
  <si>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</si>
  <si>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</si>
  <si>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</si>
  <si>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</si>
  <si>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</si>
  <si>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</si>
  <si>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</si>
  <si>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</si>
  <si>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</si>
  <si>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</si>
  <si>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</si>
  <si>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</si>
  <si>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</si>
  <si>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</si>
  <si>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</si>
  <si>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</si>
  <si>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</si>
  <si>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</si>
  <si>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</si>
  <si>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</si>
  <si>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</si>
  <si>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</si>
  <si>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</si>
  <si>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</si>
  <si>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</si>
  <si>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</si>
  <si>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</si>
  <si>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</si>
  <si>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</si>
  <si>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</si>
  <si>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</si>
  <si>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</si>
  <si>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</si>
  <si>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</si>
  <si>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</si>
  <si>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</si>
  <si>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</si>
  <si>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</si>
  <si>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</si>
  <si>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</si>
  <si>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</si>
  <si>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</si>
  <si>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</si>
  <si>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</si>
  <si>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</si>
  <si>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</si>
  <si>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</si>
  <si>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</si>
  <si>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</si>
  <si>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</si>
  <si>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</si>
  <si>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</si>
  <si>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</si>
  <si>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</si>
  <si>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</si>
  <si>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</si>
  <si>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</si>
  <si>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</si>
  <si>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</si>
  <si>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</si>
  <si>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</si>
  <si>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</si>
  <si>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</si>
  <si>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</si>
  <si>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</si>
  <si>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</si>
  <si>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</si>
  <si>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</si>
  <si>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</si>
  <si>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</si>
  <si>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</si>
  <si>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</si>
  <si>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</si>
  <si>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</si>
  <si>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</si>
  <si>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</si>
  <si>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</si>
  <si>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</si>
  <si>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</si>
  <si>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</si>
  <si>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</si>
  <si>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</si>
  <si>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</si>
  <si>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</si>
  <si>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</si>
  <si>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</si>
  <si>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</si>
  <si>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</si>
  <si>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</si>
  <si>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</si>
  <si>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</si>
  <si>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</si>
  <si>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</si>
  <si>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</si>
  <si>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</si>
  <si>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</si>
  <si>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</si>
  <si>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</si>
  <si>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</si>
  <si>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</si>
  <si>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</si>
  <si>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</si>
  <si>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</si>
  <si>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</si>
  <si>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</si>
  <si>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</si>
  <si>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</si>
  <si>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</si>
  <si>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</si>
  <si>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</si>
  <si>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</si>
  <si>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</si>
  <si>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</si>
  <si>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</si>
  <si>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</si>
  <si>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</si>
  <si>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</si>
  <si>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</si>
  <si>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</si>
  <si>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</si>
  <si>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</si>
  <si>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</si>
  <si>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</si>
  <si>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</si>
  <si>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</si>
  <si>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</si>
  <si>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</si>
  <si>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</si>
  <si>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</si>
  <si>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</si>
  <si>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</si>
  <si>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</si>
  <si>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</si>
  <si>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</si>
  <si>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</si>
  <si>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</si>
  <si>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</si>
  <si>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</si>
  <si>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</si>
  <si>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</si>
  <si>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</si>
  <si>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</si>
  <si>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</si>
  <si>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</si>
  <si>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</si>
  <si>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</si>
  <si>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</si>
  <si>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</si>
  <si>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</si>
  <si>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</si>
  <si>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</si>
  <si>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</si>
  <si>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</si>
  <si>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</si>
  <si>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</si>
  <si>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</si>
  <si>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</si>
  <si>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</si>
  <si>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</si>
  <si>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</si>
  <si>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</si>
  <si>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</si>
  <si>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</si>
  <si>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</si>
  <si>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</si>
  <si>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</si>
  <si>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</si>
  <si>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</si>
  <si>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</si>
  <si>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</si>
  <si>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</si>
  <si>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</si>
  <si>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</si>
  <si>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</si>
  <si>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</si>
  <si>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</si>
  <si>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</si>
  <si>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</si>
  <si>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</si>
  <si>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</si>
  <si>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</si>
  <si>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</si>
  <si>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</si>
  <si>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</si>
  <si>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</si>
  <si>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</si>
  <si>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</si>
  <si>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</si>
  <si>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</si>
  <si>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</si>
  <si>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</si>
  <si>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</si>
  <si>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</si>
  <si>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</si>
  <si>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</si>
  <si>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</si>
  <si>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</si>
  <si>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</si>
  <si>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</si>
  <si>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</si>
  <si>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</si>
  <si>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</si>
  <si>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</si>
  <si>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</si>
  <si>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</si>
  <si>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</si>
  <si>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</si>
  <si>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</si>
  <si>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</si>
  <si>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</si>
  <si>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</si>
  <si>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</si>
  <si>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</si>
  <si>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</si>
  <si>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</si>
  <si>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</si>
  <si>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</si>
  <si>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</si>
  <si>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</si>
  <si>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</si>
  <si>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</si>
  <si>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</si>
  <si>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</si>
  <si>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</si>
  <si>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</si>
  <si>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</si>
  <si>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</si>
  <si>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</si>
  <si>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</si>
  <si>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</si>
  <si>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</si>
  <si>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</si>
  <si>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</si>
  <si>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</si>
  <si>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</si>
  <si>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</si>
  <si>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</si>
  <si>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</si>
  <si>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</si>
  <si>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</si>
  <si>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</si>
  <si>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</si>
  <si>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</si>
  <si>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</si>
  <si>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</si>
  <si>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</si>
  <si>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</si>
  <si>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</si>
  <si>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</si>
  <si>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</si>
  <si>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</si>
  <si>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</si>
  <si>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</si>
  <si>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</si>
  <si>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</si>
  <si>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</si>
  <si>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</si>
  <si>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</si>
  <si>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</si>
  <si>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</si>
  <si>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</si>
  <si>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</si>
  <si>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</si>
  <si>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</si>
  <si>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</si>
  <si>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</si>
  <si>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</si>
  <si>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</si>
  <si>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</si>
  <si>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</si>
  <si>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</si>
  <si>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</si>
  <si>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</si>
  <si>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</si>
  <si>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</si>
  <si>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</si>
  <si>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</si>
  <si>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</si>
  <si>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</si>
  <si>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</si>
  <si>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</si>
  <si>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</si>
  <si>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</si>
  <si>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</si>
  <si>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</si>
  <si>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</si>
  <si>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</si>
  <si>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</si>
  <si>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</si>
  <si>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</si>
  <si>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</si>
  <si>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</si>
  <si>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</si>
  <si>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</si>
  <si>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</si>
  <si>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</si>
  <si>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</si>
  <si>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</si>
  <si>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</si>
  <si>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</si>
  <si>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</si>
  <si>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</si>
  <si>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</si>
  <si>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</si>
  <si>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</si>
  <si>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</si>
  <si>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</si>
  <si>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</si>
  <si>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</si>
  <si>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</si>
  <si>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</si>
  <si>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</si>
  <si>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</si>
  <si>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</si>
  <si>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</si>
  <si>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</si>
  <si>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</si>
  <si>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</si>
  <si>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</si>
  <si>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</si>
  <si>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</si>
  <si>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</si>
  <si>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</si>
  <si>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</si>
  <si>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</si>
  <si>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</si>
  <si>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</si>
  <si>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</si>
  <si>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</si>
  <si>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</si>
  <si>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</si>
  <si>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</si>
  <si>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</si>
  <si>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</si>
  <si>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</si>
  <si>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</si>
  <si>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</si>
  <si>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</si>
  <si>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</si>
  <si>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</si>
  <si>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</si>
  <si>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</si>
  <si>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</si>
  <si>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</si>
  <si>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</si>
  <si>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</si>
  <si>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</si>
  <si>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</si>
  <si>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</si>
  <si>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</si>
  <si>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</si>
  <si>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</si>
  <si>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</si>
  <si>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</si>
  <si>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</si>
  <si>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</si>
  <si>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</si>
  <si>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</si>
  <si>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</si>
  <si>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</si>
  <si>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</si>
  <si>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</si>
  <si>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</si>
  <si>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</si>
  <si>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</si>
  <si>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</si>
  <si>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</si>
  <si>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</si>
  <si>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</si>
  <si>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</si>
  <si>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</si>
  <si>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</si>
  <si>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</si>
  <si>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</si>
  <si>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</si>
  <si>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</si>
  <si>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</si>
  <si>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</si>
  <si>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</si>
  <si>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</si>
  <si>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</si>
  <si>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</si>
  <si>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</si>
  <si>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</si>
  <si>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</si>
  <si>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</si>
  <si>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</si>
  <si>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</si>
  <si>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</si>
  <si>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</si>
  <si>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</si>
  <si>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</si>
  <si>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</si>
  <si>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</si>
  <si>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</si>
  <si>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</si>
  <si>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</si>
  <si>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</si>
  <si>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</si>
  <si>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</si>
  <si>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</si>
  <si>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</si>
  <si>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</si>
  <si>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</si>
  <si>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</si>
  <si>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</si>
  <si>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</si>
  <si>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</si>
  <si>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</si>
  <si>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</si>
  <si>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</si>
  <si>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</si>
  <si>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</si>
  <si>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</si>
  <si>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</si>
  <si>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</si>
  <si>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</si>
  <si>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</si>
  <si>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</si>
  <si>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</si>
  <si>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</si>
  <si>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</si>
  <si>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</si>
  <si>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</si>
  <si>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</si>
  <si>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</si>
  <si>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</si>
  <si>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</si>
  <si>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</si>
  <si>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</si>
  <si>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</si>
  <si>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</si>
  <si>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</si>
  <si>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</si>
  <si>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</si>
  <si>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</si>
  <si>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</si>
  <si>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</si>
  <si>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</si>
  <si>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</si>
  <si>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</si>
  <si>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</si>
  <si>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</si>
  <si>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</si>
  <si>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</si>
  <si>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</si>
  <si>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</si>
  <si>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</si>
  <si>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</si>
  <si>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</si>
  <si>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</si>
  <si>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</si>
  <si>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</si>
  <si>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</si>
  <si>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</si>
  <si>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</si>
  <si>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</si>
  <si>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</si>
  <si>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</si>
  <si>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</si>
  <si>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</si>
  <si>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</si>
  <si>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</si>
  <si>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</si>
  <si>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</si>
  <si>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</si>
  <si>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</si>
  <si>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</si>
  <si>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</si>
  <si>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</si>
  <si>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</si>
  <si>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</si>
  <si>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</si>
  <si>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</si>
  <si>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</si>
  <si>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</si>
  <si>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</si>
  <si>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</si>
  <si>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</si>
  <si>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</si>
  <si>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</si>
  <si>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</si>
  <si>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</si>
  <si>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</si>
  <si>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</si>
  <si>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</si>
  <si>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</si>
  <si>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</si>
  <si>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</si>
  <si>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</si>
  <si>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</si>
  <si>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</si>
  <si>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</si>
  <si>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</si>
  <si>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</si>
  <si>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</si>
  <si>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</si>
  <si>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</si>
  <si>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</si>
  <si>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</si>
  <si>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</si>
  <si>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</si>
  <si>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</si>
  <si>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</si>
  <si>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</si>
  <si>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</si>
  <si>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</si>
  <si>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</si>
  <si>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</si>
  <si>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</si>
  <si>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</si>
  <si>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</si>
  <si>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</si>
  <si>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</si>
  <si>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</si>
  <si>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</si>
  <si>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</si>
  <si>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</si>
  <si>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</si>
  <si>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</si>
  <si>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</si>
  <si>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</si>
  <si>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</si>
  <si>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</si>
  <si>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</si>
  <si>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</si>
  <si>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</si>
  <si>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</si>
  <si>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</si>
  <si>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</si>
  <si>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</si>
  <si>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</si>
  <si>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</si>
  <si>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</si>
  <si>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</si>
  <si>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</si>
  <si>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</si>
  <si>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</si>
  <si>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</si>
  <si>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</si>
  <si>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</si>
  <si>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</si>
  <si>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</si>
  <si>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</si>
  <si>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</si>
  <si>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</si>
  <si>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</si>
  <si>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</si>
  <si>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</si>
  <si>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</si>
  <si>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</si>
  <si>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</si>
  <si>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</si>
  <si>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</si>
  <si>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</si>
  <si>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</si>
  <si>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</si>
  <si>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</si>
  <si>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</si>
  <si>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</si>
  <si>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</si>
  <si>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</si>
  <si>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</si>
  <si>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</si>
  <si>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</si>
  <si>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</si>
  <si>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</si>
  <si>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</si>
  <si>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</si>
  <si>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</si>
  <si>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</si>
  <si>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</si>
  <si>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</si>
  <si>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</si>
  <si>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</si>
  <si>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</si>
  <si>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</si>
  <si>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</si>
  <si>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</si>
  <si>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</si>
  <si>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</si>
  <si>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</si>
  <si>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</si>
  <si>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</si>
  <si>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</si>
  <si>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</si>
  <si>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</si>
  <si>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</si>
  <si>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</si>
  <si>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</si>
  <si>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</si>
  <si>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</si>
  <si>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</si>
  <si>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</si>
  <si>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</si>
  <si>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</si>
  <si>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</si>
  <si>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</si>
  <si>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</si>
  <si>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</si>
  <si>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</si>
  <si>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</si>
  <si>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</si>
  <si>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</si>
  <si>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</si>
  <si>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</si>
  <si>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</si>
  <si>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</si>
  <si>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</si>
  <si>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</si>
  <si>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</si>
  <si>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</si>
  <si>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</si>
  <si>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</si>
  <si>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</si>
  <si>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</si>
  <si>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</si>
  <si>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</si>
  <si>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</si>
  <si>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</si>
  <si>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</si>
  <si>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</si>
  <si>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</si>
  <si>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</si>
  <si>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</si>
  <si>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</si>
  <si>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</si>
  <si>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</si>
  <si>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</si>
  <si>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</si>
  <si>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</si>
  <si>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</si>
  <si>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</si>
  <si>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</si>
  <si>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</si>
  <si>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</si>
  <si>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</si>
  <si>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</si>
  <si>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</si>
  <si>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</si>
  <si>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</si>
  <si>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</si>
  <si>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</si>
  <si>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企业</t>
  </si>
  <si>
    <t>Ⅸ-亦1</t>
  </si>
  <si>
    <t>地上</t>
  </si>
  <si>
    <t>办公楼</t>
  </si>
  <si>
    <t>是</t>
  </si>
  <si>
    <t>办公楼</t>
    <phoneticPr fontId="7" type="noConversion"/>
  </si>
  <si>
    <t>仓库</t>
  </si>
  <si>
    <t>仓库</t>
    <phoneticPr fontId="7" type="noConversion"/>
  </si>
  <si>
    <t>成新度</t>
  </si>
  <si>
    <t>通路</t>
  </si>
  <si>
    <t>通电</t>
  </si>
  <si>
    <t>通讯</t>
  </si>
  <si>
    <t>通上水</t>
  </si>
  <si>
    <t>通下水</t>
  </si>
  <si>
    <t>平整</t>
  </si>
  <si>
    <t>利息：取LPR加浮动点数</t>
  </si>
  <si>
    <t>收益法-办公楼1</t>
  </si>
  <si>
    <t>收益法-办公楼1</t>
    <phoneticPr fontId="16" type="noConversion"/>
  </si>
  <si>
    <t>成本法-办公楼1</t>
    <phoneticPr fontId="16" type="noConversion"/>
  </si>
  <si>
    <t>收益法-仓库5.6</t>
  </si>
  <si>
    <t>收益法-仓库5.6</t>
    <phoneticPr fontId="16" type="noConversion"/>
  </si>
  <si>
    <t>成本法-仓库5.6</t>
    <phoneticPr fontId="16" type="noConversion"/>
  </si>
  <si>
    <t>押一</t>
  </si>
  <si>
    <t>钢混</t>
  </si>
  <si>
    <t>非生产用房</t>
  </si>
  <si>
    <t>否</t>
  </si>
  <si>
    <t>钢</t>
  </si>
  <si>
    <t>基准地价</t>
  </si>
  <si>
    <t>未包含在土地购买价格中</t>
  </si>
  <si>
    <t>已包含在土地取得成本中</t>
  </si>
  <si>
    <t>与级别开发程度不一致</t>
  </si>
  <si>
    <t>自定义容积率</t>
  </si>
  <si>
    <t>办公楼1</t>
    <phoneticPr fontId="134" type="noConversion"/>
  </si>
  <si>
    <t>收益法</t>
    <phoneticPr fontId="134" type="noConversion"/>
  </si>
  <si>
    <t>权重</t>
    <phoneticPr fontId="134" type="noConversion"/>
  </si>
  <si>
    <t>成本法</t>
    <phoneticPr fontId="134" type="noConversion"/>
  </si>
  <si>
    <t>权重</t>
    <phoneticPr fontId="134" type="noConversion"/>
  </si>
  <si>
    <t>单价</t>
    <phoneticPr fontId="134" type="noConversion"/>
  </si>
  <si>
    <t>建筑面积</t>
    <phoneticPr fontId="134" type="noConversion"/>
  </si>
  <si>
    <t>总价</t>
    <phoneticPr fontId="134" type="noConversion"/>
  </si>
  <si>
    <t>一般</t>
  </si>
  <si>
    <t>较好</t>
  </si>
  <si>
    <t>好</t>
  </si>
  <si>
    <t>较差</t>
  </si>
  <si>
    <t>仓库5.6</t>
    <phoneticPr fontId="134" type="noConversion"/>
  </si>
  <si>
    <t>办公及附属用房2.3</t>
    <phoneticPr fontId="134" type="noConversion"/>
  </si>
  <si>
    <t>仓库4</t>
    <phoneticPr fontId="134" type="noConversion"/>
  </si>
  <si>
    <t>市场价</t>
    <phoneticPr fontId="134" type="noConversion"/>
  </si>
  <si>
    <t>扣除项</t>
    <phoneticPr fontId="134" type="noConversion"/>
  </si>
  <si>
    <t>增值额</t>
    <phoneticPr fontId="134" type="noConversion"/>
  </si>
  <si>
    <t>税率</t>
    <phoneticPr fontId="134" type="noConversion"/>
  </si>
  <si>
    <t>土增税</t>
    <phoneticPr fontId="134" type="noConversion"/>
  </si>
  <si>
    <t>·</t>
  </si>
  <si>
    <t>成本法</t>
  </si>
  <si>
    <t>收益法</t>
  </si>
  <si>
    <t>楼号</t>
  </si>
  <si>
    <t>规划用途</t>
  </si>
  <si>
    <t>建筑面积</t>
  </si>
  <si>
    <t>-</t>
  </si>
  <si>
    <t>测算结果</t>
  </si>
  <si>
    <t>单价</t>
  </si>
  <si>
    <t>总价</t>
  </si>
  <si>
    <t>办公及附属用房</t>
  </si>
  <si>
    <t>评估价值</t>
  </si>
  <si>
    <t>大写金额</t>
  </si>
  <si>
    <t>壹仟壹佰玖拾叁万伍仟柒佰玖拾叁元整</t>
    <phoneticPr fontId="134" type="noConversion"/>
  </si>
  <si>
    <t>生产用房</t>
  </si>
  <si>
    <t>交易金额</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</si>
</sst>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rgb="FFE36C0A"/>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top style="double">
        <color rgb="FF404040"/>
      </top>
      <bottom style="dotted">
        <color rgb="FF404040"/>
      </bottom>
      <diagonal/>
    </border>
    <border>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diagonal/>
    </border>
    <border>
      <left/>
      <right style="dotted">
        <color rgb="FF404040"/>
      </right>
      <top/>
      <bottom/>
      <diagonal/>
    </border>
    <border>
      <left style="dotted">
        <color rgb="FF404040"/>
      </left>
      <right/>
      <top/>
      <bottom/>
      <diagonal/>
    </border>
    <border>
      <left style="dotted">
        <color rgb="FF404040"/>
      </left>
      <right/>
      <top/>
      <bottom style="double">
        <color rgb="FF404040"/>
      </bottom>
      <diagonal/>
    </border>
    <border>
      <left/>
      <right/>
      <top/>
      <bottom style="double">
        <color rgb="FF404040"/>
      </bottom>
      <diagonal/>
    </border>
    <border>
      <left/>
      <right style="dotted">
        <color rgb="FF404040"/>
      </right>
      <top/>
      <bottom style="double">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style="dotted">
        <color rgb="FF404040"/>
      </left>
      <right/>
      <top style="dotted">
        <color rgb="FF404040"/>
      </top>
      <bottom/>
      <diagonal/>
    </border>
    <border>
      <left/>
      <right style="dotted">
        <color rgb="FF404040"/>
      </right>
      <top style="dotted">
        <color rgb="FF404040"/>
      </top>
      <bottom/>
      <diagonal/>
    </border>
    <border>
      <left/>
      <right/>
      <top style="dotted">
        <color rgb="FF404040"/>
      </top>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9" fontId="0" fillId="0" borderId="0" xfId="0" applyNumberFormat="1">
      <alignment vertical="center"/>
    </xf>
    <xf numFmtId="0" fontId="107" fillId="5" borderId="1" xfId="0" applyFont="1" applyFill="1" applyBorder="1" applyAlignment="1" applyProtection="1">
      <alignment horizontal="center" vertical="center" wrapText="1"/>
      <protection locked="0"/>
    </xf>
    <xf numFmtId="10" fontId="0" fillId="0" borderId="0" xfId="0" applyNumberFormat="1">
      <alignment vertical="center"/>
    </xf>
    <xf numFmtId="0" fontId="272" fillId="0" borderId="178" xfId="0" applyFont="1" applyBorder="1" applyAlignment="1">
      <alignment horizontal="center" vertical="center" wrapText="1"/>
    </xf>
    <xf numFmtId="0" fontId="264" fillId="0" borderId="179" xfId="0" applyFont="1" applyBorder="1" applyAlignment="1">
      <alignment horizontal="center" vertical="center" wrapText="1"/>
    </xf>
    <xf numFmtId="0" fontId="264" fillId="0" borderId="180" xfId="0" applyFont="1" applyBorder="1" applyAlignment="1">
      <alignment horizontal="center" vertical="center" wrapText="1"/>
    </xf>
    <xf numFmtId="0" fontId="266" fillId="0" borderId="180" xfId="0" applyFont="1" applyBorder="1" applyAlignment="1">
      <alignment horizontal="center" vertical="center" wrapText="1"/>
    </xf>
    <xf numFmtId="0" fontId="264" fillId="0" borderId="186" xfId="0" applyFont="1" applyBorder="1" applyAlignment="1">
      <alignment horizontal="center" vertical="center" wrapText="1"/>
    </xf>
    <xf numFmtId="0" fontId="266" fillId="5" borderId="180" xfId="0" applyFont="1" applyFill="1" applyBorder="1" applyAlignment="1">
      <alignment horizontal="center" vertical="center" wrapText="1"/>
    </xf>
    <xf numFmtId="0" fontId="264" fillId="5" borderId="180"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25" fillId="0" borderId="176" xfId="0" applyFont="1" applyBorder="1" applyAlignment="1">
      <alignment horizontal="center" vertical="center" wrapText="1"/>
    </xf>
    <xf numFmtId="0" fontId="125" fillId="0" borderId="177" xfId="0" applyFont="1" applyBorder="1" applyAlignment="1">
      <alignment horizontal="center" vertical="center" wrapText="1"/>
    </xf>
    <xf numFmtId="0" fontId="125" fillId="0" borderId="178" xfId="0" applyFont="1" applyBorder="1" applyAlignment="1">
      <alignment horizontal="center" vertical="center" wrapText="1"/>
    </xf>
    <xf numFmtId="0" fontId="264" fillId="0" borderId="187" xfId="0" applyFont="1" applyBorder="1" applyAlignment="1">
      <alignment horizontal="center" vertical="center" wrapText="1"/>
    </xf>
    <xf numFmtId="0" fontId="264" fillId="0" borderId="188" xfId="0" applyFont="1" applyBorder="1" applyAlignment="1">
      <alignment horizontal="center" vertical="center" wrapText="1"/>
    </xf>
    <xf numFmtId="0" fontId="266" fillId="0" borderId="189" xfId="0" applyFont="1" applyBorder="1" applyAlignment="1">
      <alignment horizontal="center" vertical="center" wrapText="1"/>
    </xf>
    <xf numFmtId="0" fontId="266" fillId="0" borderId="181" xfId="0" applyFont="1" applyBorder="1" applyAlignment="1">
      <alignment horizontal="center" vertical="center" wrapText="1"/>
    </xf>
    <xf numFmtId="0" fontId="266" fillId="0" borderId="179" xfId="0" applyFont="1" applyBorder="1" applyAlignment="1">
      <alignment horizontal="center" vertical="center" wrapText="1"/>
    </xf>
    <xf numFmtId="0" fontId="264" fillId="0" borderId="189" xfId="0" applyFont="1" applyBorder="1" applyAlignment="1">
      <alignment horizontal="center" vertical="center" wrapText="1"/>
    </xf>
    <xf numFmtId="0" fontId="264" fillId="0" borderId="181" xfId="0" applyFont="1" applyBorder="1" applyAlignment="1">
      <alignment horizontal="center" vertical="center" wrapText="1"/>
    </xf>
    <xf numFmtId="0" fontId="264" fillId="0" borderId="179"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6" fillId="5" borderId="189" xfId="0" applyFont="1" applyFill="1" applyBorder="1" applyAlignment="1">
      <alignment horizontal="center" vertical="center" wrapText="1"/>
    </xf>
    <xf numFmtId="0" fontId="266" fillId="5" borderId="181" xfId="0" applyFont="1" applyFill="1" applyBorder="1" applyAlignment="1">
      <alignment horizontal="center" vertical="center" wrapText="1"/>
    </xf>
    <xf numFmtId="0" fontId="266" fillId="5" borderId="179" xfId="0" applyFont="1" applyFill="1" applyBorder="1" applyAlignment="1">
      <alignment horizontal="center" vertical="center" wrapText="1"/>
    </xf>
    <xf numFmtId="0" fontId="264" fillId="5" borderId="189" xfId="0" applyFont="1" applyFill="1" applyBorder="1" applyAlignment="1">
      <alignment horizontal="center" vertical="center" wrapText="1"/>
    </xf>
    <xf numFmtId="0" fontId="264" fillId="5" borderId="179" xfId="0" applyFont="1" applyFill="1" applyBorder="1" applyAlignment="1">
      <alignment horizontal="center" vertical="center" wrapText="1"/>
    </xf>
    <xf numFmtId="0" fontId="266" fillId="5" borderId="187" xfId="0" applyFont="1" applyFill="1" applyBorder="1" applyAlignment="1">
      <alignment horizontal="center" vertical="center" wrapText="1"/>
    </xf>
    <xf numFmtId="0" fontId="266" fillId="5" borderId="188" xfId="0" applyFont="1" applyFill="1" applyBorder="1" applyAlignment="1">
      <alignment horizontal="center" vertical="center" wrapText="1"/>
    </xf>
    <xf numFmtId="0" fontId="264" fillId="5" borderId="181" xfId="0" applyFont="1" applyFill="1" applyBorder="1" applyAlignment="1">
      <alignment horizontal="center" vertical="center" wrapText="1"/>
    </xf>
    <xf numFmtId="0" fontId="264" fillId="0" borderId="190" xfId="0" applyFont="1" applyBorder="1" applyAlignment="1">
      <alignment horizontal="center" vertical="center" wrapText="1"/>
    </xf>
    <xf numFmtId="0" fontId="264" fillId="0" borderId="192" xfId="0" applyFont="1" applyBorder="1" applyAlignment="1">
      <alignment horizontal="center" vertical="center" wrapText="1"/>
    </xf>
    <xf numFmtId="0" fontId="264" fillId="0" borderId="191" xfId="0" applyFont="1" applyBorder="1" applyAlignment="1">
      <alignment horizontal="center" vertical="center" wrapText="1"/>
    </xf>
    <xf numFmtId="0" fontId="264" fillId="0" borderId="183" xfId="0" applyFont="1" applyBorder="1" applyAlignment="1">
      <alignment horizontal="center" vertical="center" wrapText="1"/>
    </xf>
    <xf numFmtId="0" fontId="264" fillId="0" borderId="0" xfId="0" applyFont="1" applyBorder="1" applyAlignment="1">
      <alignment horizontal="center" vertical="center" wrapText="1"/>
    </xf>
    <xf numFmtId="0" fontId="264" fillId="0" borderId="182" xfId="0" applyFont="1" applyBorder="1" applyAlignment="1">
      <alignment horizontal="center" vertical="center" wrapText="1"/>
    </xf>
    <xf numFmtId="0" fontId="264" fillId="0" borderId="184" xfId="0" applyFont="1" applyBorder="1" applyAlignment="1">
      <alignment horizontal="center" vertical="center" wrapText="1"/>
    </xf>
    <xf numFmtId="0" fontId="264" fillId="0" borderId="185" xfId="0" applyFont="1" applyBorder="1" applyAlignment="1">
      <alignment horizontal="center" vertical="center" wrapText="1"/>
    </xf>
    <xf numFmtId="0" fontId="264" fillId="0" borderId="186" xfId="0" applyFont="1" applyBorder="1" applyAlignment="1">
      <alignment horizontal="center" vertical="center" wrapText="1"/>
    </xf>
    <xf numFmtId="0" fontId="266" fillId="0" borderId="193" xfId="0" applyFont="1" applyBorder="1" applyAlignment="1">
      <alignment horizontal="center" vertical="center" wrapText="1"/>
    </xf>
    <xf numFmtId="0" fontId="266" fillId="0" borderId="194" xfId="0" applyFont="1" applyBorder="1"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192" xfId="0" applyBorder="1" applyAlignment="1">
      <alignment horizontal="center" vertical="center"/>
    </xf>
    <xf numFmtId="0" fontId="0" fillId="0" borderId="0" xfId="0"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554922</xdr:colOff>
      <xdr:row>26</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60522" cy="4777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132203</xdr:rowOff>
    </xdr:from>
    <xdr:to>
      <xdr:col>12</xdr:col>
      <xdr:colOff>430841</xdr:colOff>
      <xdr:row>55</xdr:row>
      <xdr:rowOff>10999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02623"/>
          <a:ext cx="10374941" cy="28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2303;&#22686;&#31246;/F02&#24066;&#22330;&#20215;&#20540;/0207&#20302;&#35843;/&#27979;&#31639;-&#38738;&#20113;&#24215;&#24066;&#22330;&#20215;1996&#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汇总表"/>
      <sheetName val="成本法-2.3办公及附属用房"/>
      <sheetName val="成本法-4仓库"/>
      <sheetName val="基准地价修正"/>
      <sheetName val="成本法"/>
      <sheetName val="假设开发法"/>
      <sheetName val="收益法"/>
      <sheetName val="Sheet2"/>
      <sheetName val="收益法-2.3办公及附属用房"/>
      <sheetName val="收益法-4仓库"/>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D2">
            <v>378.96000000000004</v>
          </cell>
          <cell r="E2">
            <v>2281</v>
          </cell>
          <cell r="G2">
            <v>2845</v>
          </cell>
        </row>
        <row r="3">
          <cell r="D3">
            <v>537.48</v>
          </cell>
          <cell r="E3">
            <v>1887</v>
          </cell>
          <cell r="G3">
            <v>2943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估价对象为北京市房地产，为所有。根据《国有土地使用证》[]，估价对象（分摊）出让国有建设用地使用权面积为3333平方米，建筑面积为2464.74平方米。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估价对象为北京市房地产,属开发建设的，该项目尚在开发建设中。根据《国有土地使用证》[]，估价对象（分摊）出让国有建设用地使用权面积为3333平方米，规划建筑面积为2464.74平方米。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2025年1月23日（评估专业人员实地查勘之日）</v>
      </c>
    </row>
    <row r="13" spans="1:2" s="1203" customFormat="1">
      <c r="A13" s="1201" t="s">
        <v>529</v>
      </c>
      <c r="B13" s="1202" t="str">
        <f>'预评函-1'!A18</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2464.7399999999998</v>
      </c>
    </row>
    <row r="44" spans="1:2" s="1203" customFormat="1" ht="31.2">
      <c r="A44" s="1201" t="s">
        <v>575</v>
      </c>
      <c r="B44" s="1202" t="str">
        <f>'预评函-3'!C2</f>
        <v>(分摊)土地面积</v>
      </c>
    </row>
    <row r="45" spans="1:2" s="1203" customFormat="1">
      <c r="A45" s="1201" t="s">
        <v>547</v>
      </c>
      <c r="B45" s="1202">
        <f>'预评函-3'!C4</f>
        <v>3333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3424</v>
      </c>
      <c r="C19" s="1547"/>
    </row>
    <row r="20" spans="1:3">
      <c r="A20" s="1546" t="s">
        <v>1048</v>
      </c>
      <c r="B20" s="1546" t="s">
        <v>3425</v>
      </c>
      <c r="C20" s="1547"/>
    </row>
    <row r="21" spans="1:3">
      <c r="A21" s="1546" t="s">
        <v>1049</v>
      </c>
      <c r="B21" s="1546" t="s">
        <v>3427</v>
      </c>
      <c r="C21" s="1547"/>
    </row>
    <row r="22" spans="1:3">
      <c r="A22" s="1546" t="s">
        <v>1050</v>
      </c>
      <c r="B22" s="1546" t="s">
        <v>3428</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120" zoomScaleNormal="120" workbookViewId="0">
      <selection activeCell="C31" sqref="C31"/>
    </sheetView>
  </sheetViews>
  <sheetFormatPr defaultRowHeight="14.4"/>
  <sheetData/>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56" sqref="B5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2" t="s">
        <v>2579</v>
      </c>
      <c r="J2" s="3522"/>
      <c r="K2" s="3522"/>
      <c r="L2" s="3522"/>
      <c r="M2" s="3522"/>
      <c r="N2" s="3522"/>
      <c r="O2" s="3522"/>
      <c r="P2" s="3522"/>
      <c r="Q2" s="3522"/>
      <c r="R2" s="3522"/>
    </row>
    <row r="3" spans="1:18">
      <c r="A3" s="3020" t="s">
        <v>2500</v>
      </c>
      <c r="B3" s="3021">
        <f>项目基本情况!D3</f>
        <v>45680</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v>
      </c>
      <c r="D5" s="3025">
        <f>IF(ISERROR(ROUND(POWER(1+E5,A5-C5)*(POWER(1+E5,C5)-1)/(POWER(1+E5,A5)-1),3)),0,ROUND(POWER(1+E5,A5-C5)*(POWER(1+E5,C5)-1)/(POWER(1+E5,A5)-1),4))</f>
        <v>9.0700000000000003E-2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11.91</v>
      </c>
      <c r="D6" s="3025">
        <f>IF(ISERROR(ROUND(POWER(1+E6,A6-C6)*(POWER(1+E6,C6)-1)/(POWER(1+E6,A6)-1),3)),0,ROUND(POWER(1+E6,A6-C6)*(POWER(1+E6,C6)-1)/(POWER(1+E6,A6)-1),4))</f>
        <v>0.43430000000000002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31.92</v>
      </c>
      <c r="D7" s="3025">
        <f>IF(ISERROR(ROUND(POWER(1+E7,A7-C7)*(POWER(1+E7,C7)-1)/(POWER(1+E7,A7)-1),3)),0,ROUND(POWER(1+E7,A7-C7)*(POWER(1+E7,C7)-1)/(POWER(1+E7,A7)-1),4))</f>
        <v>0.76300000000000001</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9" sqref="E3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3" t="str">
        <f>IF(B10="北京市","北京市",C10)&amp;F10&amp;IF(结果表!G1="在建","出让国有建设用地使用权及在建建筑物",IF(结果表!G1="土地","出让国有建设用地使用权",))&amp;B9&amp;"预评估"</f>
        <v>北京市房地产市场价值预评估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45680</v>
      </c>
      <c r="C3" s="2374" t="s">
        <v>2171</v>
      </c>
      <c r="D3" s="2373">
        <f>B3</f>
        <v>45680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26"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27"/>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c r="D13" s="856"/>
      <c r="E13" s="856">
        <v>55876</v>
      </c>
      <c r="F13" s="856"/>
      <c r="G13" s="856">
        <f>E13</f>
        <v>55876</v>
      </c>
      <c r="H13" s="856">
        <f>G13</f>
        <v>55876</v>
      </c>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27.93</v>
      </c>
      <c r="F15" s="2410" t="str">
        <f>IF(A13="出让",IF(F13="","",ROUNDDOWN(MIN((F13-$D$3)/365,F14),2)),F14)</f>
        <v/>
      </c>
      <c r="G15" s="2410">
        <f>IF(A13="出让",IF(G13="","",ROUNDDOWN(MIN((G13-$D$3)/365,G14),2)),G14)</f>
        <v>27.93</v>
      </c>
      <c r="H15" s="2410">
        <f>IF(A13="出让",IF(H13="","",ROUNDDOWN(MIN((H13-$D$3)/365,H14),2)),H14)</f>
        <v>27.93</v>
      </c>
      <c r="I15" s="2410" t="str">
        <f>IF(A13="出让",IF(I13="","",ROUNDDOWN(MIN((I13-$D$3)/365,I14),2)),I14)</f>
        <v/>
      </c>
      <c r="J15" s="3064"/>
      <c r="K15" s="2451"/>
      <c r="L15" s="2451"/>
      <c r="M15" s="2509"/>
      <c r="N15" s="2451"/>
      <c r="O15" s="2509"/>
      <c r="P15" s="2439"/>
      <c r="Q15" s="2439"/>
      <c r="AD15" s="1745"/>
    </row>
    <row r="16" spans="1:30">
      <c r="A16" s="2400" t="s">
        <v>2193</v>
      </c>
      <c r="B16" s="3533"/>
      <c r="C16" s="3534"/>
      <c r="D16" s="3535"/>
      <c r="E16" s="2413" t="s">
        <v>2194</v>
      </c>
      <c r="F16" s="3536"/>
      <c r="G16" s="3537"/>
      <c r="H16" s="3537"/>
      <c r="I16" s="3538"/>
      <c r="J16" s="2439"/>
      <c r="K16" s="2617"/>
      <c r="L16" s="2451"/>
      <c r="M16" s="2451"/>
      <c r="N16" s="2509"/>
      <c r="O16" s="2451"/>
      <c r="P16" s="2509"/>
      <c r="Q16" s="2439"/>
      <c r="R16" s="2439"/>
    </row>
    <row r="17" spans="1:28">
      <c r="A17" s="313" t="s">
        <v>2195</v>
      </c>
      <c r="B17" s="302" t="s">
        <v>2196</v>
      </c>
      <c r="C17" s="8">
        <f>'数据-汇总表'!E3</f>
        <v>2464.7399999999998</v>
      </c>
      <c r="D17" s="2322" t="s">
        <v>2197</v>
      </c>
      <c r="E17" s="3539" t="s">
        <v>2198</v>
      </c>
      <c r="F17" s="3540"/>
      <c r="G17" s="3540"/>
      <c r="H17" s="3540"/>
      <c r="I17" s="354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3333</v>
      </c>
      <c r="D18" s="1092" t="s">
        <v>2201</v>
      </c>
      <c r="E18" s="3542" t="s">
        <v>2202</v>
      </c>
      <c r="F18" s="3543"/>
      <c r="G18" s="3543"/>
      <c r="H18" s="3543"/>
      <c r="I18" s="354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9" t="s">
        <v>2206</v>
      </c>
      <c r="C20" s="3530"/>
      <c r="D20" s="3531" t="s">
        <v>2207</v>
      </c>
      <c r="E20" s="3532"/>
      <c r="F20" s="2647" t="s">
        <v>1056</v>
      </c>
      <c r="G20" s="2664"/>
      <c r="H20" s="2664"/>
      <c r="I20" s="2664"/>
      <c r="J20" s="2439"/>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2218</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5" t="s">
        <v>2228</v>
      </c>
      <c r="T34" s="2428" t="str">
        <f>NUMBERSTRING(7-K34,1)&amp;"通"</f>
        <v>七通</v>
      </c>
      <c r="U34" s="2439"/>
      <c r="V34" s="2439"/>
    </row>
    <row r="35" spans="1:30">
      <c r="A35" s="2429"/>
      <c r="B35" s="3552" t="s">
        <v>2229</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3408</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3333</v>
      </c>
      <c r="B3" s="11">
        <f>IF(C3="否",G5-AT5,G5)</f>
        <v>2464.7399999999998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2464.7399999999998</v>
      </c>
      <c r="H5" s="13">
        <f t="shared" ref="H5:AT5" si="0">SUM(H13:H656)</f>
        <v>2464.7399999999998</v>
      </c>
      <c r="I5" s="13">
        <f t="shared" si="0"/>
        <v>1220.99</v>
      </c>
      <c r="J5" s="13">
        <f t="shared" si="0"/>
        <v>0</v>
      </c>
      <c r="K5" s="13">
        <f t="shared" si="0"/>
        <v>528.82000000000005</v>
      </c>
      <c r="L5" s="13">
        <f t="shared" si="0"/>
        <v>0</v>
      </c>
      <c r="M5" s="13">
        <f t="shared" si="0"/>
        <v>714.93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2464.7399999999998</v>
      </c>
      <c r="BA5" s="15">
        <f t="shared" si="1"/>
        <v>2464.7399999999998</v>
      </c>
      <c r="BB5" s="15">
        <f t="shared" si="1"/>
        <v>1220.99</v>
      </c>
      <c r="BC5" s="15">
        <f t="shared" si="1"/>
        <v>528.82000000000005</v>
      </c>
      <c r="BD5" s="15">
        <f t="shared" si="1"/>
        <v>714.93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3333</v>
      </c>
      <c r="F6" s="13" t="s">
        <v>0</v>
      </c>
      <c r="G6" s="13" t="s">
        <v>1</v>
      </c>
      <c r="H6" s="17">
        <f>SUMIF(I$12:AB$12,"总值",I6:AB6)</f>
        <v>3333</v>
      </c>
      <c r="I6" s="13">
        <f t="shared" ref="I6:AB6" si="2">ROUND($A$3*I5/$B$3,2)</f>
        <v>1651.11</v>
      </c>
      <c r="J6" s="13">
        <f t="shared" si="2"/>
        <v>0</v>
      </c>
      <c r="K6" s="13">
        <f t="shared" si="2"/>
        <v>715.11</v>
      </c>
      <c r="L6" s="13">
        <f t="shared" si="2"/>
        <v>0</v>
      </c>
      <c r="M6" s="13">
        <f t="shared" si="2"/>
        <v>966.78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3333</v>
      </c>
      <c r="AZ6" s="13" t="s">
        <v>2</v>
      </c>
      <c r="BA6" s="13">
        <f>ROUND($AY$6*BA5/$AZ$5,2)</f>
        <v>3333</v>
      </c>
      <c r="BB6" s="13">
        <f>ROUND($AY$6*BB5/$AZ$5,2)</f>
        <v>1651.11</v>
      </c>
      <c r="BC6" s="13">
        <f t="shared" ref="BC6:BH6" si="4">ROUND($AY$6*BC5/$AZ$5,2)</f>
        <v>715.11</v>
      </c>
      <c r="BD6" s="13">
        <f t="shared" si="4"/>
        <v>966.78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t="s">
        <v>3409</v>
      </c>
      <c r="L9" s="809"/>
      <c r="M9" s="1603" t="s">
        <v>3409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t="s">
        <v>3</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3410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3411</v>
      </c>
      <c r="E13" s="13">
        <f>IF($C$3="是",ROUND($A$3*G13/$B$3,2),ROUND($A$3*(G13-AT13)/$B$3,2))</f>
        <v>3333</v>
      </c>
      <c r="F13" s="29"/>
      <c r="G13" s="30">
        <f>H13+AC13+AT13</f>
        <v>2464.7399999999998</v>
      </c>
      <c r="H13" s="17">
        <f>SUMIF(I$12:AB$12,"总值",I13:AB13)</f>
        <v>2464.7399999999998</v>
      </c>
      <c r="I13" s="1626">
        <v>1220.99</v>
      </c>
      <c r="J13" s="1626"/>
      <c r="K13" s="1626">
        <v>528.82000000000005</v>
      </c>
      <c r="L13" s="1626"/>
      <c r="M13" s="1626">
        <v>714.93</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3333</v>
      </c>
      <c r="AZ13" s="13">
        <f>BA13+BL13</f>
        <v>2464.7399999999998</v>
      </c>
      <c r="BA13" s="13">
        <f>SUM(BB13:BK13)</f>
        <v>2464.7399999999998</v>
      </c>
      <c r="BB13" s="13">
        <f>IF($D13="是",I13-J13,0)</f>
        <v>1220.99</v>
      </c>
      <c r="BC13" s="13">
        <f>IF($D13="是",K13-L13,0)</f>
        <v>528.82000000000005</v>
      </c>
      <c r="BD13" s="13">
        <f>IF($D13="是",M13-N13,0)</f>
        <v>714.93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9" sqref="G5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2" t="s">
        <v>1131</v>
      </c>
      <c r="B2" s="3562"/>
      <c r="C2" s="3562"/>
      <c r="D2" s="796" t="s">
        <v>1107</v>
      </c>
      <c r="E2" s="1639" t="s">
        <v>1108</v>
      </c>
      <c r="F2" s="2659"/>
      <c r="G2" s="2650"/>
      <c r="H2" s="2651"/>
      <c r="I2" s="2325" t="s">
        <v>1132</v>
      </c>
      <c r="J2" s="2659"/>
      <c r="K2" s="2659"/>
      <c r="L2" s="2659"/>
      <c r="M2" s="2659"/>
      <c r="N2" s="2661"/>
      <c r="O2" s="2659"/>
      <c r="P2" s="2659"/>
    </row>
    <row r="3" spans="1:16" ht="15" thickBot="1">
      <c r="A3" s="3563" t="s">
        <v>1105</v>
      </c>
      <c r="B3" s="3563"/>
      <c r="C3" s="3563"/>
      <c r="D3" s="43">
        <f>'数据-基础表'!AY6</f>
        <v>3333</v>
      </c>
      <c r="E3" s="43">
        <f>'数据-基础表'!AZ5</f>
        <v>2464.7399999999998</v>
      </c>
      <c r="F3" s="2659"/>
      <c r="G3" s="1145"/>
      <c r="H3" s="1026" t="s">
        <v>1106</v>
      </c>
      <c r="I3" s="855">
        <f>ROUND('数据-基础表'!B3/'数据-基础表'!A3,2)</f>
        <v>0.74</v>
      </c>
      <c r="J3" s="2659"/>
      <c r="K3" s="2659"/>
      <c r="L3" s="2659"/>
      <c r="M3" s="2659"/>
      <c r="N3" s="2661"/>
      <c r="O3" s="2659"/>
      <c r="P3" s="2659"/>
    </row>
    <row r="4" spans="1:16" ht="14.4">
      <c r="A4" s="3564"/>
      <c r="B4" s="3565"/>
      <c r="C4" s="3566"/>
      <c r="D4" s="1641" t="s">
        <v>1107</v>
      </c>
      <c r="E4" s="1642" t="s">
        <v>1108</v>
      </c>
      <c r="F4" s="2659"/>
      <c r="G4" s="2652" t="s">
        <v>1133</v>
      </c>
      <c r="H4" s="1026" t="s">
        <v>1113</v>
      </c>
      <c r="I4" s="855">
        <f>ROUND(SUMIF('数据-基础表'!I9:AS9,"地上",'数据-基础表'!I5:AS5)/'数据-基础表'!A3,2)</f>
        <v>0.74</v>
      </c>
      <c r="J4" s="2659"/>
      <c r="K4" s="2659"/>
      <c r="L4" s="2659"/>
      <c r="M4" s="2659"/>
      <c r="N4" s="2661"/>
      <c r="O4" s="2659"/>
      <c r="P4" s="2659"/>
    </row>
    <row r="5" spans="1:16" ht="14.4">
      <c r="A5" s="44" t="s">
        <v>1109</v>
      </c>
      <c r="B5" s="3567" t="s">
        <v>1110</v>
      </c>
      <c r="C5" s="3567"/>
      <c r="D5" s="45">
        <f>ROUND($D$3*E5/$E$3,2)</f>
        <v>0</v>
      </c>
      <c r="E5" s="46">
        <f>SUMIF('数据-基础表'!$11:$11,"住宅",'数据-基础表'!$5:$5)</f>
        <v>0</v>
      </c>
      <c r="F5" s="2659"/>
      <c r="G5" s="1145"/>
      <c r="H5" s="1026" t="s">
        <v>1106</v>
      </c>
      <c r="I5" s="855">
        <f>ROUND(E31/D31,2)</f>
        <v>0.74</v>
      </c>
      <c r="J5" s="2659"/>
      <c r="K5" s="2659"/>
      <c r="L5" s="2659"/>
      <c r="M5" s="2659"/>
      <c r="N5" s="2659"/>
      <c r="O5" s="2659"/>
      <c r="P5" s="2659"/>
    </row>
    <row r="6" spans="1:16" ht="15" thickBot="1">
      <c r="A6" s="1644"/>
      <c r="B6" s="3567" t="s">
        <v>1111</v>
      </c>
      <c r="C6" s="3567"/>
      <c r="D6" s="45">
        <f>ROUND($D$3*E6/$E$3,2)</f>
        <v>3333</v>
      </c>
      <c r="E6" s="46">
        <f>E3-E5</f>
        <v>2464.7399999999998</v>
      </c>
      <c r="F6" s="2659"/>
      <c r="G6" s="2653" t="s">
        <v>1112</v>
      </c>
      <c r="H6" s="1146" t="s">
        <v>1113</v>
      </c>
      <c r="I6" s="2654">
        <f>ROUND(F31/D31,2)</f>
        <v>0.74</v>
      </c>
      <c r="J6" s="2659"/>
      <c r="K6" s="2659"/>
      <c r="L6" s="2659"/>
      <c r="M6" s="2659"/>
      <c r="N6" s="2659"/>
      <c r="O6" s="2659"/>
      <c r="P6" s="2659"/>
    </row>
    <row r="7" spans="1:16" ht="15" thickBot="1">
      <c r="A7" s="3559"/>
      <c r="B7" s="3560"/>
      <c r="C7" s="3561"/>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3333</v>
      </c>
      <c r="E8" s="48">
        <f>SUMIF('数据-基础表'!BB10:BK10,"地上",'数据-基础表'!BB5:BK5)</f>
        <v>2464.7399999999998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3333</v>
      </c>
      <c r="E16" s="50">
        <f>SUM(E8:E15)</f>
        <v>2464.7399999999998</v>
      </c>
      <c r="F16" s="2659"/>
      <c r="G16" s="2660"/>
      <c r="H16" s="1648" t="s">
        <v>1135</v>
      </c>
      <c r="I16" s="1649"/>
      <c r="J16" s="1139"/>
      <c r="K16" s="3556" t="s">
        <v>1135</v>
      </c>
      <c r="L16" s="3557"/>
      <c r="M16" s="3557"/>
      <c r="N16" s="3557"/>
      <c r="O16" s="3557"/>
      <c r="P16" s="3558"/>
    </row>
    <row r="17" spans="1:19" ht="14.4">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3412</v>
      </c>
      <c r="D19" s="45">
        <f>ROUND($D$3*E19/$E$3,2)</f>
        <v>1651.11</v>
      </c>
      <c r="E19" s="53">
        <f t="shared" ref="E19:E26" si="1">SUM(F19:G19)</f>
        <v>1220.99</v>
      </c>
      <c r="F19" s="2795">
        <f>'数据-基础表'!I13</f>
        <v>1220.99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1651.11</v>
      </c>
      <c r="S19" s="1027">
        <f t="shared" si="5"/>
        <v>1220.99</v>
      </c>
    </row>
    <row r="20" spans="1:19" ht="14.4">
      <c r="A20" s="1670"/>
      <c r="B20" s="47" t="s">
        <v>1153</v>
      </c>
      <c r="C20" s="3417" t="s">
        <v>3414</v>
      </c>
      <c r="D20" s="45">
        <f t="shared" ref="D20:D26" si="6">ROUND($D$3*E20/$E$3,2)</f>
        <v>1681.89</v>
      </c>
      <c r="E20" s="53">
        <f t="shared" si="1"/>
        <v>1243.75</v>
      </c>
      <c r="F20" s="2795">
        <f>'数据-基础表'!K13+'数据-基础表'!M13</f>
        <v>1243.75</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1681.89</v>
      </c>
      <c r="S20" s="1027">
        <f t="shared" si="5"/>
        <v>1243.75</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3333</v>
      </c>
      <c r="E27" s="1141">
        <f>IF(SUM(E19:E26)='数据-基础表'!BA5,SUM(E19:E26),IF(F27="地上面积有误","面积有误","地下面积有误"))</f>
        <v>2464.7399999999998</v>
      </c>
      <c r="F27" s="1140">
        <f>IF(SUM(F19:F26)=E8,SUM(F19:F26),"地上面积有误")</f>
        <v>2464.7399999999998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3333</v>
      </c>
      <c r="S27" s="1026">
        <f>IF(SUM(S19:S26)=$E$3,SUM(S19:S26),SUM(S19:S26)&amp;"误差"&amp;ROUND(SUM(S19:S26)-E3,2))</f>
        <v>2464.7399999999998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3333</v>
      </c>
      <c r="E31" s="676">
        <f>E27+E30</f>
        <v>2464.7399999999998</v>
      </c>
      <c r="F31" s="677">
        <f>F27+F30</f>
        <v>2464.7399999999998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Z36" sqref="Z3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6" width="8.88671875" style="1682" customWidth="1"/>
    <col min="7" max="7" width="11.88671875" style="1682" customWidth="1"/>
    <col min="8"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0.1093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办公楼</v>
      </c>
      <c r="B6" s="1713" t="str">
        <f>IF(A6=0,"","经营性")</f>
        <v>经营性</v>
      </c>
      <c r="C6" s="1714" t="s">
        <v>3</v>
      </c>
      <c r="D6" s="858">
        <f>SUMIF(项目基本情况!C$12:I$12,C6,项目基本情况!C$14:I$14)</f>
        <v>50</v>
      </c>
      <c r="E6" s="857">
        <f>IF(B6="","",SUMIF(项目基本情况!C$12:I$12,C6,项目基本情况!C$13:I$13))</f>
        <v>55876</v>
      </c>
      <c r="F6" s="64">
        <f>SUMIF(项目基本情况!C$12:I$12,C6,项目基本情况!C$15:I$15)</f>
        <v>27.93</v>
      </c>
      <c r="G6" s="65">
        <f>IF(ISERROR(ROUND(POWER(1+H6,D6-F6)*(POWER(1+H6,F6)-1)/(POWER(1+H6,D6)-1),3)),0,ROUND(POWER(1+H6,D6-F6)*(POWER(1+H6,F6)-1)/(POWER(1+H6,D6)-1),3))</f>
        <v>0.752</v>
      </c>
      <c r="H6" s="732">
        <v>3.5000000000000003E-2</v>
      </c>
      <c r="I6" s="732">
        <v>0.04</v>
      </c>
      <c r="J6" s="66">
        <v>0.05</v>
      </c>
      <c r="K6" s="1030">
        <f>SUMIF('数据-汇总表'!C$19:C$33,A6,'数据-汇总表'!E$19:E$33)</f>
        <v>1220.99</v>
      </c>
      <c r="L6" s="733">
        <v>2800</v>
      </c>
      <c r="M6" s="67">
        <f t="shared" ref="M6:M14" si="0">ROUND(K6*L6/10000,0)</f>
        <v>342</v>
      </c>
      <c r="N6" s="731">
        <v>0.82499999999999996</v>
      </c>
      <c r="O6" s="67" t="str">
        <f>IF($N$5="成新度","——",ROUND(M6*N6,0))</f>
        <v>——</v>
      </c>
      <c r="P6" s="68" t="str">
        <f>IF($N$5="成新度","——",M6-O6)</f>
        <v>——</v>
      </c>
      <c r="Q6" s="734">
        <v>0.1</v>
      </c>
      <c r="R6" s="69">
        <f ca="1">SUMIF('数据-汇总表'!C$19:C$33,A6,'数据-汇总表'!R$19:R$27)</f>
        <v>1651.11</v>
      </c>
      <c r="S6" s="51">
        <f>IF('数据-汇总表'!$I$17="按面积比例",SUMIF('数据-汇总表'!C$19:C$33,A6,'数据-汇总表'!K$19:K$33),SUMIF('数据-汇总表'!C$19:C$33,A6,'数据-汇总表'!N$19:N$33))</f>
        <v>0</v>
      </c>
      <c r="T6" s="1172">
        <f>ROUND($L$14*S6/10000,0)</f>
        <v>0</v>
      </c>
      <c r="U6" s="3428">
        <v>1</v>
      </c>
      <c r="V6" s="70">
        <v>5.0000000000000001E-3</v>
      </c>
      <c r="W6" s="70">
        <v>0.1</v>
      </c>
      <c r="X6" s="1040"/>
      <c r="Y6" s="71">
        <f>N6</f>
        <v>0.82499999999999996</v>
      </c>
      <c r="Z6" s="72"/>
      <c r="AA6" s="66"/>
      <c r="AB6" s="66"/>
      <c r="AC6" s="1040"/>
      <c r="AD6" s="73"/>
      <c r="AE6" s="3469">
        <f>F6</f>
        <v>27.93</v>
      </c>
      <c r="AF6" s="1348"/>
      <c r="AG6" s="138">
        <f>IF(AF6="",0,AE6-AF6)</f>
        <v>0</v>
      </c>
      <c r="AH6" s="3428">
        <f>K6</f>
        <v>1220.99</v>
      </c>
      <c r="AI6" s="76">
        <v>365</v>
      </c>
      <c r="AJ6" s="77"/>
      <c r="AK6" s="78">
        <v>0.01</v>
      </c>
      <c r="AL6" s="79">
        <v>1.5E-3</v>
      </c>
      <c r="AM6" s="80">
        <v>1.4999999999999999E-2</v>
      </c>
      <c r="AN6" s="1715" t="s">
        <v>3423</v>
      </c>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仓库</v>
      </c>
      <c r="B7" s="1713" t="str">
        <f t="shared" ref="B7:B13" si="1">IF(A7=0,"","经营性")</f>
        <v>经营性</v>
      </c>
      <c r="C7" s="1714" t="s">
        <v>3</v>
      </c>
      <c r="D7" s="858">
        <f>SUMIF(项目基本情况!C$12:I$12,C7,项目基本情况!C$14:I$14)</f>
        <v>50</v>
      </c>
      <c r="E7" s="857">
        <f>IF(B7="","",SUMIF(项目基本情况!C$12:I$12,C7,项目基本情况!C$13:I$13))</f>
        <v>55876</v>
      </c>
      <c r="F7" s="64">
        <f>SUMIF(项目基本情况!C$12:I$12,C7,项目基本情况!C$15:I$15)</f>
        <v>27.93</v>
      </c>
      <c r="G7" s="65">
        <f t="shared" ref="G7:G11" si="2">IF(ISERROR(ROUND(POWER(1+H7,D7-F7)*(POWER(1+H7,F7)-1)/(POWER(1+H7,D7)-1),3)),0,ROUND(POWER(1+H7,D7-F7)*(POWER(1+H7,F7)-1)/(POWER(1+H7,D7)-1),3))</f>
        <v>0.752</v>
      </c>
      <c r="H7" s="732">
        <v>3.5000000000000003E-2</v>
      </c>
      <c r="I7" s="732">
        <v>0.04</v>
      </c>
      <c r="J7" s="66">
        <v>0.05</v>
      </c>
      <c r="K7" s="1030">
        <f>SUMIF('数据-汇总表'!C$19:C$33,A7,'数据-汇总表'!E$19:E$33)</f>
        <v>1243.75</v>
      </c>
      <c r="L7" s="733">
        <v>1500</v>
      </c>
      <c r="M7" s="67">
        <f t="shared" si="0"/>
        <v>187</v>
      </c>
      <c r="N7" s="731">
        <v>0.75839999999999996</v>
      </c>
      <c r="O7" s="67" t="str">
        <f t="shared" ref="O7:O14" si="3">IF($N$5="成新度","——",ROUND(M7*N7,0))</f>
        <v>——</v>
      </c>
      <c r="P7" s="68" t="str">
        <f t="shared" ref="P7:P14" si="4">IF($N$5="成新度","——",M7-O7)</f>
        <v>——</v>
      </c>
      <c r="Q7" s="734">
        <v>0.05</v>
      </c>
      <c r="R7" s="69">
        <f ca="1">SUMIF('数据-汇总表'!C$19:C$33,A7,'数据-汇总表'!R$19:R$27)</f>
        <v>1681.89</v>
      </c>
      <c r="S7" s="51">
        <f>IF('数据-汇总表'!$I$17="按面积比例",SUMIF('数据-汇总表'!C$19:C$33,A7,'数据-汇总表'!K$19:K$33),SUMIF('数据-汇总表'!C$19:C$33,A7,'数据-汇总表'!N$19:N$33))</f>
        <v>0</v>
      </c>
      <c r="T7" s="1172">
        <f t="shared" ref="T7:T13" si="5">ROUND($L$14*S7/10000,0)</f>
        <v>0</v>
      </c>
      <c r="U7" s="3428">
        <v>0.5</v>
      </c>
      <c r="V7" s="70">
        <f>V6</f>
        <v>5.0000000000000001E-3</v>
      </c>
      <c r="W7" s="70">
        <v>0.1</v>
      </c>
      <c r="X7" s="1040"/>
      <c r="Y7" s="71">
        <f>N7</f>
        <v>0.75839999999999996</v>
      </c>
      <c r="Z7" s="72"/>
      <c r="AA7" s="66"/>
      <c r="AB7" s="66"/>
      <c r="AC7" s="1040"/>
      <c r="AD7" s="73"/>
      <c r="AE7" s="1041">
        <f t="shared" ref="AE7:AE13" ca="1" si="6">IF(AN7="",0,SUMIF(INDIRECT("'"&amp;AN7&amp;"'"&amp;"!E:E"),$AE$5,INDIRECT("'"&amp;AN7&amp;"'"&amp;"!F:F")))</f>
        <v>27.93</v>
      </c>
      <c r="AF7" s="1348"/>
      <c r="AG7" s="138">
        <f t="shared" ref="AG7:AG13" si="7">IF(AF7="",0,AE7-AF7)</f>
        <v>0</v>
      </c>
      <c r="AH7" s="3428">
        <f>K7</f>
        <v>1243.75</v>
      </c>
      <c r="AI7" s="76">
        <v>365</v>
      </c>
      <c r="AJ7" s="77"/>
      <c r="AK7" s="78">
        <v>0.01</v>
      </c>
      <c r="AL7" s="79">
        <v>1.5E-3</v>
      </c>
      <c r="AM7" s="80">
        <v>1.4999999999999999E-2</v>
      </c>
      <c r="AN7" s="1715" t="s">
        <v>3426</v>
      </c>
      <c r="AO7" s="52">
        <f t="shared" ref="AO7:AO13" ca="1" si="8">SUMIF(INDIRECT("'"&amp;AN7&amp;"'"&amp;"!A:A"),"总价",INDIRECT("'"&amp;AN7&amp;"'"&amp;"!B:B"))</f>
        <v>259.625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0.752</v>
      </c>
      <c r="H16" s="90">
        <f>ROUND(SUMPRODUCT(H6:H13,K6:K13)/SUMPRODUCT((H6:H13&gt;0)*(K6:K13)),3)</f>
        <v>3.5000000000000003E-2</v>
      </c>
      <c r="I16" s="91"/>
      <c r="J16" s="91"/>
      <c r="K16" s="92">
        <f>SUM(K6:K15)</f>
        <v>2464.7399999999998</v>
      </c>
      <c r="L16" s="93">
        <f>ROUND(M16*10000/SUM(K6:K14),0)</f>
        <v>2146</v>
      </c>
      <c r="M16" s="93">
        <f>SUM(M6:M14)</f>
        <v>529</v>
      </c>
      <c r="N16" s="94">
        <f>ROUND(SUMPRODUCT(M6:M14,N6:N14)/M16,3)</f>
        <v>0.80100000000000005</v>
      </c>
      <c r="O16" s="93">
        <f>SUM(O6:O14)</f>
        <v>0</v>
      </c>
      <c r="P16" s="93">
        <f>SUM(P6:P14)</f>
        <v>0</v>
      </c>
      <c r="Q16" s="95">
        <f>ROUND(SUMPRODUCT(Q6:Q13,K6:K13)/SUMPRODUCT((Q6:Q13&gt;0)*(K6:K13)),2)</f>
        <v>7.0000000000000007E-2</v>
      </c>
      <c r="R16" s="1034">
        <f ca="1">SUM(R6:R13)</f>
        <v>3333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0.5</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150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0.05</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3422</v>
      </c>
      <c r="B40" s="1078">
        <f ca="1">IF(A40="利息：取LPR",存贷款利率!G1,存贷款利率!G1+C40)</f>
        <v>3.1E-2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8" t="s">
        <v>2286</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3381.18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45680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1123.5077000000001</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汇总表!D6</f>
        <v>3381.18</v>
      </c>
      <c r="C14" s="2518"/>
      <c r="D14" s="2518">
        <f ca="1">汇总表!J6/10000</f>
        <v>1123.5077000000001</v>
      </c>
      <c r="E14" s="2518">
        <f ca="1">ROUND(D14*10000/B14,0)</f>
        <v>3323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2" sqref="I3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北京市房地产</v>
      </c>
      <c r="B2" s="3638"/>
      <c r="C2" s="3638"/>
      <c r="D2" s="3638"/>
      <c r="E2" s="3638"/>
      <c r="F2" s="3638"/>
      <c r="G2" s="3638"/>
      <c r="H2" s="3638"/>
      <c r="I2" s="3639"/>
    </row>
    <row r="3" spans="1:12" ht="13.2">
      <c r="A3" s="3641" t="s">
        <v>1264</v>
      </c>
      <c r="B3" s="3642"/>
      <c r="C3" s="3642"/>
      <c r="D3" s="3642"/>
      <c r="E3" s="3642"/>
      <c r="F3" s="3642"/>
      <c r="G3" s="3642"/>
      <c r="H3" s="3642"/>
      <c r="I3" s="3642"/>
    </row>
    <row r="4" spans="1:12" ht="14.4">
      <c r="A4" s="1754" t="s">
        <v>1265</v>
      </c>
      <c r="B4" s="1755" t="s">
        <v>1266</v>
      </c>
      <c r="C4" s="1756"/>
      <c r="D4" s="1756"/>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85" t="s">
        <v>1268</v>
      </c>
      <c r="B5" s="3640">
        <v>25</v>
      </c>
      <c r="C5" s="3643"/>
      <c r="D5" s="3631"/>
      <c r="E5" s="131" t="s">
        <v>1269</v>
      </c>
      <c r="F5" s="1757"/>
      <c r="G5" s="1757"/>
      <c r="H5" s="1757"/>
      <c r="I5" s="1373"/>
    </row>
    <row r="6" spans="1:12" ht="13.2">
      <c r="A6" s="3585"/>
      <c r="B6" s="3640"/>
      <c r="C6" s="3645"/>
      <c r="D6" s="3631"/>
      <c r="E6" s="131" t="s">
        <v>1270</v>
      </c>
      <c r="F6" s="1757"/>
      <c r="G6" s="1757"/>
      <c r="H6" s="1757"/>
      <c r="I6" s="1373"/>
    </row>
    <row r="7" spans="1:12" ht="13.2">
      <c r="A7" s="3585"/>
      <c r="B7" s="3640"/>
      <c r="C7" s="3644"/>
      <c r="D7" s="3631"/>
      <c r="E7" s="131" t="s">
        <v>1271</v>
      </c>
      <c r="F7" s="1757"/>
      <c r="G7" s="1757"/>
      <c r="H7" s="1757"/>
      <c r="I7" s="1373"/>
    </row>
    <row r="8" spans="1:12" ht="13.2">
      <c r="A8" s="3585" t="s">
        <v>1272</v>
      </c>
      <c r="B8" s="3640">
        <v>15</v>
      </c>
      <c r="C8" s="3643"/>
      <c r="D8" s="3631"/>
      <c r="E8" s="131" t="s">
        <v>1273</v>
      </c>
      <c r="F8" s="1757"/>
      <c r="G8" s="1757"/>
      <c r="H8" s="1757"/>
      <c r="I8" s="1373"/>
    </row>
    <row r="9" spans="1:12" ht="13.2">
      <c r="A9" s="3585"/>
      <c r="B9" s="3640"/>
      <c r="C9" s="3644"/>
      <c r="D9" s="3631"/>
      <c r="E9" s="131" t="s">
        <v>1274</v>
      </c>
      <c r="F9" s="1757"/>
      <c r="G9" s="1757"/>
      <c r="H9" s="1757"/>
      <c r="I9" s="1373"/>
    </row>
    <row r="10" spans="1:12" ht="13.2">
      <c r="A10" s="3585" t="s">
        <v>1275</v>
      </c>
      <c r="B10" s="3640">
        <v>15</v>
      </c>
      <c r="C10" s="3643"/>
      <c r="D10" s="3631"/>
      <c r="E10" s="131" t="s">
        <v>1276</v>
      </c>
      <c r="F10" s="1757"/>
      <c r="G10" s="1757"/>
      <c r="H10" s="1757"/>
      <c r="I10" s="1373"/>
    </row>
    <row r="11" spans="1:12" ht="13.2">
      <c r="A11" s="3585"/>
      <c r="B11" s="3640"/>
      <c r="C11" s="3644"/>
      <c r="D11" s="3631"/>
      <c r="E11" s="131" t="s">
        <v>1277</v>
      </c>
      <c r="F11" s="1757"/>
      <c r="G11" s="1757"/>
      <c r="H11" s="1757"/>
      <c r="I11" s="1373"/>
    </row>
    <row r="12" spans="1:12" ht="13.2">
      <c r="A12" s="3585" t="s">
        <v>1278</v>
      </c>
      <c r="B12" s="3640">
        <v>15</v>
      </c>
      <c r="C12" s="3643"/>
      <c r="D12" s="3631"/>
      <c r="E12" s="131" t="s">
        <v>1279</v>
      </c>
      <c r="F12" s="1757"/>
      <c r="G12" s="1757"/>
      <c r="H12" s="1757"/>
      <c r="I12" s="1373"/>
    </row>
    <row r="13" spans="1:12" ht="13.2">
      <c r="A13" s="3585"/>
      <c r="B13" s="3640"/>
      <c r="C13" s="3644"/>
      <c r="D13" s="3631"/>
      <c r="E13" s="131" t="s">
        <v>1280</v>
      </c>
      <c r="F13" s="1757"/>
      <c r="G13" s="1757"/>
      <c r="H13" s="1757"/>
      <c r="I13" s="1373"/>
    </row>
    <row r="14" spans="1:12" ht="13.2">
      <c r="A14" s="3585" t="s">
        <v>1281</v>
      </c>
      <c r="B14" s="3640">
        <v>30</v>
      </c>
      <c r="C14" s="3643"/>
      <c r="D14" s="3631"/>
      <c r="E14" s="131" t="s">
        <v>1282</v>
      </c>
      <c r="F14" s="1757"/>
      <c r="G14" s="1757"/>
      <c r="H14" s="1757"/>
      <c r="I14" s="1373"/>
    </row>
    <row r="15" spans="1:12" ht="13.2">
      <c r="A15" s="3585"/>
      <c r="B15" s="3640"/>
      <c r="C15" s="3645"/>
      <c r="D15" s="3631"/>
      <c r="E15" s="131" t="s">
        <v>1283</v>
      </c>
      <c r="F15" s="1757"/>
      <c r="G15" s="1757"/>
      <c r="H15" s="1757"/>
      <c r="I15" s="1373"/>
    </row>
    <row r="16" spans="1:12" ht="13.2">
      <c r="A16" s="3585"/>
      <c r="B16" s="3640"/>
      <c r="C16" s="3644"/>
      <c r="D16" s="3631"/>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62" t="s">
        <v>2131</v>
      </c>
      <c r="F18" s="3663"/>
      <c r="G18" s="3663"/>
      <c r="H18" s="3663"/>
      <c r="I18" s="3663"/>
      <c r="K18" s="302" t="s">
        <v>1289</v>
      </c>
      <c r="L18" s="302">
        <f>IF(C1="",'数据-汇总表'!E3,SUMIF(项目类型,C1,'数据-汇总表'!E17:E26)+SUMIF(项目类型,C1,'数据-汇总表'!I17:I26))</f>
        <v>2464.7399999999998</v>
      </c>
      <c r="M18" s="302">
        <f>IF(C1="",'数据-汇总表'!E3,SUMIF(项目类型,C1,'数据-汇总表'!E17:E26))</f>
        <v>2464.7399999999998</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3333</v>
      </c>
      <c r="M19" s="302">
        <f>IF(C1="",'数据-汇总表'!D3,SUMIF(项目类型,C1,'数据-汇总表'!D17:D26))</f>
        <v>3333</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55" t="s">
        <v>1299</v>
      </c>
      <c r="B24" s="1762" t="s">
        <v>1291</v>
      </c>
      <c r="C24" s="136">
        <f>IF(B30=0,0,D30)</f>
        <v>0</v>
      </c>
      <c r="D24" s="1769"/>
      <c r="E24" s="129"/>
      <c r="F24" s="129"/>
      <c r="G24" s="129"/>
      <c r="H24" s="129"/>
      <c r="I24" s="129"/>
    </row>
    <row r="25" spans="1:36" ht="14.4">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2" t="s">
        <v>1312</v>
      </c>
      <c r="B36" s="1787" t="s">
        <v>1313</v>
      </c>
      <c r="C36" s="145"/>
      <c r="D36" s="1788"/>
      <c r="E36" s="1789"/>
      <c r="F36" s="1790"/>
      <c r="G36" s="129"/>
      <c r="H36" s="129"/>
      <c r="I36" s="129"/>
    </row>
    <row r="37" spans="1:15" ht="15" thickBot="1">
      <c r="A37" s="3633"/>
      <c r="B37" s="1674" t="s">
        <v>1314</v>
      </c>
      <c r="C37" s="147"/>
      <c r="D37" s="1139"/>
      <c r="E37" s="1139"/>
      <c r="F37" s="1790"/>
      <c r="G37" s="129"/>
      <c r="H37" s="129"/>
      <c r="I37" s="129"/>
    </row>
    <row r="38" spans="1:15" ht="15" thickBot="1">
      <c r="A38" s="363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2523">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2523">
        <v>2</v>
      </c>
      <c r="K47" s="3573" t="s">
        <v>1337</v>
      </c>
      <c r="L47" s="3573"/>
      <c r="M47" s="3575">
        <f>'数据-取费表'!B2</f>
        <v>45680</v>
      </c>
      <c r="N47" s="3575"/>
      <c r="O47" s="3575"/>
    </row>
    <row r="48" spans="1:15" ht="26.4">
      <c r="A48" s="3635" t="s">
        <v>1338</v>
      </c>
      <c r="B48" s="3636"/>
      <c r="C48" s="363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3" t="s">
        <v>1340</v>
      </c>
      <c r="L48" s="3573"/>
      <c r="M48" s="3576" t="e">
        <f ca="1">H101</f>
        <v>#REF!</v>
      </c>
      <c r="N48" s="3576"/>
      <c r="O48" s="3576"/>
    </row>
    <row r="49" spans="1:35" ht="25.5" customHeight="1">
      <c r="A49" s="2333" t="s">
        <v>1341</v>
      </c>
      <c r="B49" s="3621" t="s">
        <v>1342</v>
      </c>
      <c r="C49" s="3621"/>
      <c r="D49" s="1590">
        <v>0</v>
      </c>
      <c r="E49" s="324" t="s">
        <v>1343</v>
      </c>
      <c r="F49" s="2424" t="s">
        <v>28</v>
      </c>
      <c r="G49" s="3604"/>
      <c r="H49" s="2310" t="s">
        <v>2134</v>
      </c>
      <c r="I49" s="2311"/>
      <c r="J49" s="2523">
        <v>4</v>
      </c>
      <c r="K49" s="3573" t="str">
        <f>IF(项目基本情况!E8="房地产抵押价值","房地产抵押价值","抵押担保权已注销时的房地产抵押价值")</f>
        <v>抵押担保权已注销时的房地产抵押价值</v>
      </c>
      <c r="L49" s="3573"/>
      <c r="M49" s="3576" t="str">
        <f>IF(项目基本情况!E8="房地产抵押价值",H107,H109)</f>
        <v>——</v>
      </c>
      <c r="N49" s="3576"/>
      <c r="O49" s="3576"/>
    </row>
    <row r="50" spans="1:35" ht="25.5" customHeight="1">
      <c r="A50" s="2551"/>
      <c r="B50" s="3621" t="s">
        <v>1344</v>
      </c>
      <c r="C50" s="3621"/>
      <c r="D50" s="2552"/>
      <c r="E50" s="332"/>
      <c r="F50" s="2424"/>
      <c r="G50" s="3605"/>
      <c r="H50" s="2312" t="s">
        <v>2135</v>
      </c>
      <c r="I50" s="2311"/>
      <c r="J50" s="3572" t="s">
        <v>1345</v>
      </c>
      <c r="K50" s="3572"/>
      <c r="L50" s="3572"/>
      <c r="M50" s="3572"/>
      <c r="N50" s="3572"/>
      <c r="O50" s="3572"/>
    </row>
    <row r="51" spans="1:35" ht="20.399999999999999" customHeight="1">
      <c r="A51" s="2553"/>
      <c r="B51" s="3621" t="s">
        <v>1346</v>
      </c>
      <c r="C51" s="3621"/>
      <c r="D51" s="1087"/>
      <c r="E51" s="327"/>
      <c r="F51" s="2424"/>
      <c r="G51" s="3606"/>
      <c r="H51" s="2312" t="s">
        <v>2136</v>
      </c>
      <c r="I51" s="2311"/>
      <c r="J51" s="2524" t="s">
        <v>1347</v>
      </c>
      <c r="K51" s="3573" t="s">
        <v>1348</v>
      </c>
      <c r="L51" s="3573"/>
      <c r="M51" s="2524" t="s">
        <v>1349</v>
      </c>
      <c r="N51" s="2524" t="s">
        <v>1350</v>
      </c>
      <c r="O51" s="2524" t="s">
        <v>1351</v>
      </c>
    </row>
    <row r="52" spans="1:35" ht="24" customHeight="1">
      <c r="A52" s="2335" t="s">
        <v>1352</v>
      </c>
      <c r="B52" s="3621" t="s">
        <v>1353</v>
      </c>
      <c r="C52" s="3621"/>
      <c r="D52" s="1087" t="e">
        <f ca="1">ROUND(D45*'数据-取费表'!B41/(1+'数据-取费表'!C42),0)</f>
        <v>#REF!</v>
      </c>
      <c r="E52" s="2334" t="s">
        <v>1354</v>
      </c>
      <c r="F52" s="2554">
        <f>'数据-取费表'!B41</f>
        <v>5.5000000000000007E-2</v>
      </c>
      <c r="G52" s="2555"/>
      <c r="H52" s="2544"/>
      <c r="I52" s="1807"/>
      <c r="J52" s="2523">
        <v>1</v>
      </c>
      <c r="K52" s="3598" t="s">
        <v>1355</v>
      </c>
      <c r="L52" s="3598"/>
      <c r="M52" s="2525" t="b">
        <f>D48</f>
        <v>0</v>
      </c>
      <c r="N52" s="2523" t="str">
        <f>E48</f>
        <v>销售额×税（费）率</v>
      </c>
      <c r="O52" s="2526">
        <f>F48</f>
        <v>5.5000000000000007E-2</v>
      </c>
    </row>
    <row r="53" spans="1:35" ht="12" customHeight="1">
      <c r="A53" s="2335" t="s">
        <v>1356</v>
      </c>
      <c r="B53" s="3622" t="s">
        <v>2291</v>
      </c>
      <c r="C53" s="3623"/>
      <c r="D53" s="1087" t="e">
        <f ca="1">ROUND(D45*'数据-取费表'!B41/(1+'数据-取费表'!C42),0)</f>
        <v>#REF!</v>
      </c>
      <c r="E53" s="2334" t="s">
        <v>1354</v>
      </c>
      <c r="F53" s="2554">
        <f>'数据-取费表'!B41</f>
        <v>5.5000000000000007E-2</v>
      </c>
      <c r="G53" s="2555"/>
      <c r="H53" s="2544"/>
      <c r="I53" s="1807"/>
      <c r="J53" s="2523">
        <v>2</v>
      </c>
      <c r="K53" s="3598" t="s">
        <v>1357</v>
      </c>
      <c r="L53" s="3598"/>
      <c r="M53" s="2525" t="e">
        <f t="shared" ref="M53:O54" ca="1" si="0">D55</f>
        <v>#REF!</v>
      </c>
      <c r="N53" s="2523" t="str">
        <f t="shared" si="0"/>
        <v>销售额×税（费）率</v>
      </c>
      <c r="O53" s="2526" t="str">
        <f t="shared" si="0"/>
        <v>免征</v>
      </c>
    </row>
    <row r="54" spans="1:35" ht="12" customHeight="1">
      <c r="A54" s="2335" t="s">
        <v>1358</v>
      </c>
      <c r="B54" s="3622" t="s">
        <v>2292</v>
      </c>
      <c r="C54" s="3623"/>
      <c r="D54" s="1087" t="e">
        <f ca="1">C68</f>
        <v>#REF!</v>
      </c>
      <c r="E54" s="327" t="s">
        <v>1359</v>
      </c>
      <c r="F54" s="2554">
        <f>'数据-取费表'!B41</f>
        <v>5.5000000000000007E-2</v>
      </c>
      <c r="G54" s="2555"/>
      <c r="H54" s="2556"/>
      <c r="I54" s="1807"/>
      <c r="J54" s="2523">
        <v>3</v>
      </c>
      <c r="K54" s="3598" t="s">
        <v>1360</v>
      </c>
      <c r="L54" s="3598"/>
      <c r="M54" s="2525" t="e">
        <f t="shared" ca="1" si="0"/>
        <v>#REF!</v>
      </c>
      <c r="N54" s="2523" t="str">
        <f t="shared" si="0"/>
        <v>增值额×税（费）率</v>
      </c>
      <c r="O54" s="2527" t="str">
        <f t="shared" si="0"/>
        <v>免征</v>
      </c>
    </row>
    <row r="55" spans="1:35" ht="24" customHeight="1">
      <c r="A55" s="3658" t="s">
        <v>1361</v>
      </c>
      <c r="B55" s="3636"/>
      <c r="C55" s="3636"/>
      <c r="D55" s="2324" t="e">
        <f ca="1">IF(H55="个人住宅",0,ROUND(D45*I55,0))</f>
        <v>#REF!</v>
      </c>
      <c r="E55" s="2334" t="s">
        <v>1362</v>
      </c>
      <c r="F55" s="2554" t="str">
        <f>IF(H55="正常",I55,"免征")</f>
        <v>免征</v>
      </c>
      <c r="G55" s="2555"/>
      <c r="H55" s="2550"/>
      <c r="I55" s="165">
        <f>'数据-取费表'!B49</f>
        <v>5.0000000000000001E-4</v>
      </c>
      <c r="J55" s="2523">
        <f>IF(H59="非个人房产","",4)</f>
        <v>4</v>
      </c>
      <c r="K55" s="3598" t="str">
        <f>IF(H59="非个人房产","——","个人所得税")</f>
        <v>个人所得税</v>
      </c>
      <c r="L55" s="3598"/>
      <c r="M55" s="2528" t="e">
        <f ca="1">D59</f>
        <v>#REF!</v>
      </c>
      <c r="N55" s="2040" t="str">
        <f>E59</f>
        <v>差额计税</v>
      </c>
      <c r="O55" s="2529">
        <f>F59</f>
        <v>0.01</v>
      </c>
    </row>
    <row r="56" spans="1:35" ht="25.2">
      <c r="A56" s="3658" t="s">
        <v>1363</v>
      </c>
      <c r="B56" s="3636"/>
      <c r="C56" s="3636"/>
      <c r="D56" s="2324" t="e">
        <f ca="1">IF(H56="个人住宅",D57,D58)</f>
        <v>#REF!</v>
      </c>
      <c r="E56" s="2334" t="s">
        <v>1364</v>
      </c>
      <c r="F56" s="2554" t="str">
        <f>IF(H56="正常",F58,"免征")</f>
        <v>免征</v>
      </c>
      <c r="G56" s="2557" t="s">
        <v>1365</v>
      </c>
      <c r="H56" s="2558"/>
      <c r="I56" s="1808"/>
      <c r="J56" s="2523"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3.2">
      <c r="A57" s="2335" t="s">
        <v>1341</v>
      </c>
      <c r="B57" s="3622" t="s">
        <v>1366</v>
      </c>
      <c r="C57" s="3623"/>
      <c r="D57" s="1590">
        <v>0</v>
      </c>
      <c r="E57" s="324" t="s">
        <v>1343</v>
      </c>
      <c r="F57" s="302"/>
      <c r="G57" s="2555"/>
      <c r="H57" s="2559"/>
      <c r="I57" s="1808"/>
      <c r="J57" s="3598">
        <f>IF(AND(J55="",J56=""),4,IF(项目基本情况!K6="上海银行",结果表!J56+1,结果表!J55+1))</f>
        <v>5</v>
      </c>
      <c r="K57" s="3598" t="s">
        <v>1367</v>
      </c>
      <c r="L57" s="2530" t="s">
        <v>1368</v>
      </c>
      <c r="M57" s="2531"/>
      <c r="N57" s="2532">
        <f ca="1">SUMIF(M52:M56,"&lt;9e307")</f>
        <v>0</v>
      </c>
      <c r="O57" s="2533"/>
      <c r="P57" s="2690" t="e">
        <f ca="1">N57/M49</f>
        <v>#VALUE!</v>
      </c>
    </row>
    <row r="58" spans="1:35" ht="25.2">
      <c r="A58" s="2335" t="s">
        <v>1352</v>
      </c>
      <c r="B58" s="3622" t="s">
        <v>1369</v>
      </c>
      <c r="C58" s="3621"/>
      <c r="D58" s="2324" t="e">
        <f ca="1">IF(H58="转让取得",C81,C97)</f>
        <v>#REF!</v>
      </c>
      <c r="E58" s="2334" t="s">
        <v>1364</v>
      </c>
      <c r="F58" s="302" t="s">
        <v>28</v>
      </c>
      <c r="G58" s="2555"/>
      <c r="H58" s="2558"/>
      <c r="I58" s="1808"/>
      <c r="J58" s="3598"/>
      <c r="K58" s="3598"/>
      <c r="L58" s="2530" t="s">
        <v>1370</v>
      </c>
      <c r="M58" s="2534"/>
      <c r="N58" s="2535" t="str">
        <f ca="1">NUMBERSTRING(INT(N57*10000),2)&amp;"元整"</f>
        <v>零元整</v>
      </c>
      <c r="O58" s="2536"/>
    </row>
    <row r="59" spans="1:35" ht="24.6"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0">
        <f>J57+1</f>
        <v>6</v>
      </c>
      <c r="K59" s="3598" t="s">
        <v>1372</v>
      </c>
      <c r="L59" s="2523"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8" thickBot="1">
      <c r="A61" s="3657" t="s">
        <v>1373</v>
      </c>
      <c r="B61" s="3657"/>
      <c r="C61" s="3657"/>
      <c r="D61" s="3657"/>
      <c r="E61" s="3657"/>
      <c r="F61" s="1808"/>
      <c r="G61" s="1808"/>
      <c r="H61" s="1810"/>
      <c r="I61" s="129"/>
      <c r="J61" s="2523">
        <f>J59+1</f>
        <v>7</v>
      </c>
      <c r="K61" s="3598" t="s">
        <v>1374</v>
      </c>
      <c r="L61" s="3598"/>
      <c r="M61" s="2540"/>
      <c r="N61" s="2541" t="e">
        <f ca="1">ROUND(N59*10000/'数据-汇总表'!E3,0)</f>
        <v>#VALUE!</v>
      </c>
      <c r="O61" s="2542"/>
    </row>
    <row r="62" spans="1:35" ht="13.2">
      <c r="A62" s="3617" t="s">
        <v>1375</v>
      </c>
      <c r="B62" s="3618"/>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8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7" t="s">
        <v>1375</v>
      </c>
      <c r="B71" s="361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3" t="s">
        <v>2129</v>
      </c>
      <c r="H90" s="358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f>C4</f>
        <v>0</v>
      </c>
      <c r="D101" s="2586">
        <f>D4</f>
        <v>0</v>
      </c>
      <c r="E101" s="3577" t="s">
        <v>1431</v>
      </c>
      <c r="F101" s="3578"/>
      <c r="G101" s="1827" t="s">
        <v>1432</v>
      </c>
      <c r="H101" s="2595" t="e">
        <f ca="1">H118</f>
        <v>#REF!</v>
      </c>
      <c r="I101" s="129"/>
    </row>
    <row r="102" spans="1:35" ht="18.75" customHeight="1">
      <c r="A102" s="3609" t="s">
        <v>1433</v>
      </c>
      <c r="B102" s="2584" t="s">
        <v>1432</v>
      </c>
      <c r="C102" s="2585" t="e">
        <f ca="1">IF(D32="楼面单价",ROUND(C19,0),C19)</f>
        <v>#REF!</v>
      </c>
      <c r="D102" s="2586" t="e">
        <f ca="1">IF(D32="楼面单价",ROUND(D19,0),D19)</f>
        <v>#REF!</v>
      </c>
      <c r="E102" s="3577"/>
      <c r="F102" s="3578"/>
      <c r="G102" s="1827" t="s">
        <v>1434</v>
      </c>
      <c r="H102" s="2555" t="e">
        <f ca="1">I118</f>
        <v>#REF!</v>
      </c>
      <c r="I102" s="129"/>
    </row>
    <row r="103" spans="1:35" ht="42.75" customHeight="1">
      <c r="A103" s="3609"/>
      <c r="B103" s="2584" t="s">
        <v>1434</v>
      </c>
      <c r="C103" s="2587" t="e">
        <f ca="1">C20</f>
        <v>#REF!</v>
      </c>
      <c r="D103" s="2588" t="e">
        <f ca="1">D20</f>
        <v>#REF!</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2464.7399999999998</v>
      </c>
      <c r="C118" s="2329">
        <f>M19</f>
        <v>3333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Q38"/>
  <sheetViews>
    <sheetView tabSelected="1" workbookViewId="0">
      <selection activeCell="P31" sqref="P31"/>
    </sheetView>
  </sheetViews>
  <sheetFormatPr defaultRowHeight="14.4"/>
  <cols>
    <col min="3" max="3" width="23.33203125" customWidth="1"/>
    <col min="4" max="6" width="8.88671875" customWidth="1"/>
    <col min="7" max="7" width="12.33203125" customWidth="1"/>
    <col min="8" max="8" width="17.88671875" customWidth="1"/>
    <col min="9" max="9" width="17.21875" customWidth="1"/>
    <col min="10" max="10" width="12" customWidth="1"/>
  </cols>
  <sheetData>
    <row r="1" spans="3:11">
      <c r="D1" s="3470" t="s">
        <v>3445</v>
      </c>
      <c r="E1" s="3470" t="s">
        <v>3440</v>
      </c>
      <c r="F1" s="3470" t="s">
        <v>3441</v>
      </c>
      <c r="G1" s="3470" t="s">
        <v>3442</v>
      </c>
      <c r="H1" s="3470" t="s">
        <v>3443</v>
      </c>
      <c r="I1" s="3470" t="s">
        <v>3444</v>
      </c>
      <c r="J1" s="3470" t="s">
        <v>3446</v>
      </c>
    </row>
    <row r="2" spans="3:11">
      <c r="C2" s="3470" t="s">
        <v>3439</v>
      </c>
      <c r="D2" s="3470">
        <f>'数据-汇总表'!E19</f>
        <v>1220.99</v>
      </c>
      <c r="E2">
        <f ca="1">'收益法 -办公楼1'!B3</f>
        <v>4236</v>
      </c>
      <c r="F2" s="3471">
        <v>0.4</v>
      </c>
      <c r="G2">
        <f ca="1">'成本法-办公楼1'!B3</f>
        <v>4845</v>
      </c>
      <c r="H2" s="3471">
        <f>1-F2</f>
        <v>0.6</v>
      </c>
      <c r="I2">
        <f ca="1">ROUND(E2*F2+G2*H2,0)</f>
        <v>4601</v>
      </c>
      <c r="J2">
        <f ca="1">ROUND(D2*I2,0)</f>
        <v>5617775</v>
      </c>
    </row>
    <row r="3" spans="3:11">
      <c r="C3" s="3470" t="s">
        <v>3451</v>
      </c>
      <c r="D3" s="3470">
        <f>'数据-汇总表'!E20</f>
        <v>1243.75</v>
      </c>
      <c r="E3">
        <f ca="1">'收益法-仓库5.6'!B3</f>
        <v>2087</v>
      </c>
      <c r="F3" s="3471">
        <f>F2</f>
        <v>0.4</v>
      </c>
      <c r="G3">
        <f ca="1">'成本法-仓库5.6'!B3</f>
        <v>2991</v>
      </c>
      <c r="H3" s="3471">
        <f>1-F3</f>
        <v>0.6</v>
      </c>
      <c r="I3">
        <f ca="1">ROUND(E3*F3+G3*H3,0)</f>
        <v>2629</v>
      </c>
      <c r="J3">
        <f ca="1">ROUND(D3*I3,0)</f>
        <v>3269819</v>
      </c>
    </row>
    <row r="4" spans="3:11">
      <c r="C4" s="3470" t="s">
        <v>3452</v>
      </c>
      <c r="D4">
        <f>[2]汇总表!$D$2</f>
        <v>378.96000000000004</v>
      </c>
      <c r="E4">
        <f>[2]汇总表!$E$2</f>
        <v>2281</v>
      </c>
      <c r="F4" s="3471">
        <f>F2</f>
        <v>0.4</v>
      </c>
      <c r="G4">
        <f>[2]汇总表!$G$2</f>
        <v>2845</v>
      </c>
      <c r="H4" s="3471">
        <f>H2</f>
        <v>0.6</v>
      </c>
      <c r="I4">
        <f t="shared" ref="I4:I5" si="0">ROUND(E4*F4+G4*H4,0)</f>
        <v>2619</v>
      </c>
      <c r="J4">
        <f t="shared" ref="J4:J5" si="1">ROUND(D4*I4,0)</f>
        <v>992496</v>
      </c>
    </row>
    <row r="5" spans="3:11">
      <c r="C5" s="3470" t="s">
        <v>3453</v>
      </c>
      <c r="D5">
        <f>[2]汇总表!$D$3</f>
        <v>537.48</v>
      </c>
      <c r="E5">
        <f>[2]汇总表!$E$3</f>
        <v>1887</v>
      </c>
      <c r="F5" s="3471">
        <f>F2</f>
        <v>0.4</v>
      </c>
      <c r="G5">
        <f>[2]汇总表!$G$3</f>
        <v>2943</v>
      </c>
      <c r="H5" s="3471">
        <f>H2</f>
        <v>0.6</v>
      </c>
      <c r="I5">
        <f t="shared" si="0"/>
        <v>2521</v>
      </c>
      <c r="J5">
        <f t="shared" si="1"/>
        <v>1354987</v>
      </c>
    </row>
    <row r="6" spans="3:11">
      <c r="D6">
        <f>SUM(D2:D5)</f>
        <v>3381.18</v>
      </c>
      <c r="I6" s="3470" t="s">
        <v>3454</v>
      </c>
      <c r="J6">
        <f ca="1">SUM(J2:J5)</f>
        <v>11235077</v>
      </c>
    </row>
    <row r="7" spans="3:11">
      <c r="I7" s="3470" t="s">
        <v>3455</v>
      </c>
      <c r="J7">
        <v>8478722</v>
      </c>
    </row>
    <row r="8" spans="3:11">
      <c r="I8" s="3470" t="s">
        <v>3456</v>
      </c>
      <c r="J8">
        <f ca="1">J6-J7</f>
        <v>2756355</v>
      </c>
    </row>
    <row r="9" spans="3:11">
      <c r="J9" s="3473">
        <f ca="1">J8/J7</f>
        <v>0.32509085685319083</v>
      </c>
      <c r="K9" s="3471">
        <v>0.5</v>
      </c>
    </row>
    <row r="10" spans="3:11">
      <c r="I10" s="3470" t="s">
        <v>3457</v>
      </c>
      <c r="J10" s="3471">
        <v>0.3</v>
      </c>
    </row>
    <row r="11" spans="3:11">
      <c r="I11" s="3470" t="s">
        <v>3458</v>
      </c>
      <c r="J11">
        <f ca="1">J8*J10</f>
        <v>826906.5</v>
      </c>
    </row>
    <row r="12" spans="3:11">
      <c r="I12" s="3470" t="s">
        <v>3474</v>
      </c>
      <c r="J12">
        <v>7000000</v>
      </c>
    </row>
    <row r="14" spans="3:11" ht="15" thickBot="1">
      <c r="J14">
        <f ca="1">J6-J12</f>
        <v>4235077</v>
      </c>
    </row>
    <row r="15" spans="3:11" ht="15.6" thickTop="1">
      <c r="D15" s="3664" t="s">
        <v>3459</v>
      </c>
      <c r="E15" s="3665"/>
      <c r="F15" s="3665"/>
      <c r="G15" s="3666"/>
      <c r="H15" s="3474" t="s">
        <v>3460</v>
      </c>
      <c r="I15" s="3474" t="s">
        <v>3461</v>
      </c>
      <c r="J15">
        <f ca="1">J14/J12</f>
        <v>0.60501099999999997</v>
      </c>
    </row>
    <row r="16" spans="3:11">
      <c r="D16" s="3475" t="s">
        <v>3462</v>
      </c>
      <c r="E16" s="3476" t="s">
        <v>3463</v>
      </c>
      <c r="F16" s="3476" t="s">
        <v>3464</v>
      </c>
      <c r="G16" s="3477" t="s">
        <v>3465</v>
      </c>
      <c r="H16" s="3667" t="s">
        <v>3466</v>
      </c>
      <c r="I16" s="3668"/>
    </row>
    <row r="17" spans="4:17">
      <c r="D17" s="3669">
        <v>1</v>
      </c>
      <c r="E17" s="3672" t="s">
        <v>21</v>
      </c>
      <c r="F17" s="3669">
        <v>1220.99</v>
      </c>
      <c r="G17" s="3672" t="s">
        <v>3467</v>
      </c>
      <c r="H17" s="3477">
        <f ca="1">G2</f>
        <v>4845</v>
      </c>
      <c r="I17" s="3477">
        <f ca="1">E2</f>
        <v>4236</v>
      </c>
    </row>
    <row r="18" spans="4:17">
      <c r="D18" s="3670"/>
      <c r="E18" s="3673"/>
      <c r="F18" s="3670"/>
      <c r="G18" s="3674"/>
      <c r="H18" s="3675">
        <f ca="1">I2</f>
        <v>4601</v>
      </c>
      <c r="I18" s="3676"/>
    </row>
    <row r="19" spans="4:17">
      <c r="D19" s="3671"/>
      <c r="E19" s="3674"/>
      <c r="F19" s="3671"/>
      <c r="G19" s="3476" t="s">
        <v>3468</v>
      </c>
      <c r="H19" s="3675">
        <f ca="1">ROUND(F17*H18,0)</f>
        <v>5617775</v>
      </c>
      <c r="I19" s="3676"/>
    </row>
    <row r="20" spans="4:17">
      <c r="D20" s="3677">
        <v>5</v>
      </c>
      <c r="E20" s="3680" t="s">
        <v>3413</v>
      </c>
      <c r="F20" s="3677">
        <v>528.82000000000005</v>
      </c>
      <c r="G20" s="3680" t="s">
        <v>3467</v>
      </c>
      <c r="H20" s="3479">
        <f ca="1">G3</f>
        <v>2991</v>
      </c>
      <c r="I20" s="3479">
        <f ca="1">E3</f>
        <v>2087</v>
      </c>
      <c r="L20" s="3677">
        <v>5</v>
      </c>
      <c r="M20" s="3680" t="s">
        <v>3413</v>
      </c>
      <c r="N20" s="3677">
        <v>528.82000000000005</v>
      </c>
      <c r="O20" s="3680" t="s">
        <v>3467</v>
      </c>
      <c r="P20" s="3479">
        <f ca="1">H20</f>
        <v>2991</v>
      </c>
      <c r="Q20" s="3479">
        <f ca="1">I20</f>
        <v>2087</v>
      </c>
    </row>
    <row r="21" spans="4:17">
      <c r="D21" s="3678"/>
      <c r="E21" s="3684"/>
      <c r="F21" s="3678"/>
      <c r="G21" s="3681"/>
      <c r="H21" s="3682">
        <f ca="1">I3</f>
        <v>2629</v>
      </c>
      <c r="I21" s="3683"/>
      <c r="L21" s="3678"/>
      <c r="M21" s="3684"/>
      <c r="N21" s="3678"/>
      <c r="O21" s="3681"/>
      <c r="P21" s="3682">
        <f ca="1">H21</f>
        <v>2629</v>
      </c>
      <c r="Q21" s="3683"/>
    </row>
    <row r="22" spans="4:17">
      <c r="D22" s="3679"/>
      <c r="E22" s="3681"/>
      <c r="F22" s="3679"/>
      <c r="G22" s="3480" t="s">
        <v>3468</v>
      </c>
      <c r="H22" s="3682">
        <f ca="1">ROUND(F20*H21,0)</f>
        <v>1390268</v>
      </c>
      <c r="I22" s="3683"/>
      <c r="L22" s="3679"/>
      <c r="M22" s="3681"/>
      <c r="N22" s="3679"/>
      <c r="O22" s="3480" t="s">
        <v>3468</v>
      </c>
      <c r="P22" s="3682">
        <f ca="1">ROUND(N20*P21,0)</f>
        <v>1390268</v>
      </c>
      <c r="Q22" s="3683"/>
    </row>
    <row r="23" spans="4:17">
      <c r="D23" s="3677">
        <v>6</v>
      </c>
      <c r="E23" s="3680" t="s">
        <v>3413</v>
      </c>
      <c r="F23" s="3677">
        <v>714.93</v>
      </c>
      <c r="G23" s="3680" t="s">
        <v>3467</v>
      </c>
      <c r="H23" s="3479">
        <f ca="1">H20</f>
        <v>2991</v>
      </c>
      <c r="I23" s="3479">
        <f ca="1">I20</f>
        <v>2087</v>
      </c>
      <c r="L23" s="3677">
        <v>6</v>
      </c>
      <c r="M23" s="3680" t="s">
        <v>3413</v>
      </c>
      <c r="N23" s="3677">
        <v>714.93</v>
      </c>
      <c r="O23" s="3680" t="s">
        <v>3467</v>
      </c>
      <c r="P23" s="3479">
        <f ca="1">P20</f>
        <v>2991</v>
      </c>
      <c r="Q23" s="3479">
        <f ca="1">Q20</f>
        <v>2087</v>
      </c>
    </row>
    <row r="24" spans="4:17">
      <c r="D24" s="3678"/>
      <c r="E24" s="3684"/>
      <c r="F24" s="3678"/>
      <c r="G24" s="3681"/>
      <c r="H24" s="3682">
        <f ca="1">H21</f>
        <v>2629</v>
      </c>
      <c r="I24" s="3683"/>
      <c r="L24" s="3678"/>
      <c r="M24" s="3684"/>
      <c r="N24" s="3678"/>
      <c r="O24" s="3681"/>
      <c r="P24" s="3682">
        <f ca="1">P21</f>
        <v>2629</v>
      </c>
      <c r="Q24" s="3683"/>
    </row>
    <row r="25" spans="4:17">
      <c r="D25" s="3679"/>
      <c r="E25" s="3681"/>
      <c r="F25" s="3679"/>
      <c r="G25" s="3480" t="s">
        <v>3468</v>
      </c>
      <c r="H25" s="3682">
        <f ca="1">ROUND(F23*H24,0)</f>
        <v>1879551</v>
      </c>
      <c r="I25" s="3683"/>
      <c r="L25" s="3679"/>
      <c r="M25" s="3681"/>
      <c r="N25" s="3679"/>
      <c r="O25" s="3480" t="s">
        <v>3468</v>
      </c>
      <c r="P25" s="3682">
        <f ca="1">ROUND(N23*P24,0)</f>
        <v>1879551</v>
      </c>
      <c r="Q25" s="3683"/>
    </row>
    <row r="26" spans="4:17">
      <c r="D26" s="3669">
        <v>2</v>
      </c>
      <c r="E26" s="3672" t="s">
        <v>3469</v>
      </c>
      <c r="F26" s="3669">
        <v>192.86</v>
      </c>
      <c r="G26" s="3672" t="s">
        <v>3467</v>
      </c>
      <c r="H26" s="3477">
        <f>G4</f>
        <v>2845</v>
      </c>
      <c r="I26" s="3477">
        <f>E4</f>
        <v>2281</v>
      </c>
      <c r="L26" s="3677">
        <v>4</v>
      </c>
      <c r="M26" s="3680" t="s">
        <v>3413</v>
      </c>
      <c r="N26" s="3677">
        <v>537.48</v>
      </c>
      <c r="O26" s="3680" t="s">
        <v>3467</v>
      </c>
      <c r="P26" s="3479">
        <f>H32</f>
        <v>2943</v>
      </c>
      <c r="Q26" s="3479">
        <f>I32</f>
        <v>1887</v>
      </c>
    </row>
    <row r="27" spans="4:17">
      <c r="D27" s="3670"/>
      <c r="E27" s="3673"/>
      <c r="F27" s="3670"/>
      <c r="G27" s="3674"/>
      <c r="H27" s="3675">
        <f>I4</f>
        <v>2619</v>
      </c>
      <c r="I27" s="3676"/>
      <c r="L27" s="3678"/>
      <c r="M27" s="3684"/>
      <c r="N27" s="3678"/>
      <c r="O27" s="3681"/>
      <c r="P27" s="3682">
        <f>H33</f>
        <v>2521</v>
      </c>
      <c r="Q27" s="3683"/>
    </row>
    <row r="28" spans="4:17">
      <c r="D28" s="3671"/>
      <c r="E28" s="3674"/>
      <c r="F28" s="3671"/>
      <c r="G28" s="3476" t="s">
        <v>3468</v>
      </c>
      <c r="H28" s="3675">
        <f>ROUND(F26*H27,0)</f>
        <v>505100</v>
      </c>
      <c r="I28" s="3676"/>
      <c r="L28" s="3679"/>
      <c r="M28" s="3681"/>
      <c r="N28" s="3679"/>
      <c r="O28" s="3480" t="s">
        <v>3468</v>
      </c>
      <c r="P28" s="3682">
        <f>ROUND(N26*P27,0)</f>
        <v>1354987</v>
      </c>
      <c r="Q28" s="3683"/>
    </row>
    <row r="29" spans="4:17">
      <c r="D29" s="3669">
        <v>3</v>
      </c>
      <c r="E29" s="3672" t="s">
        <v>3469</v>
      </c>
      <c r="F29" s="3669">
        <v>186.1</v>
      </c>
      <c r="G29" s="3672" t="s">
        <v>3467</v>
      </c>
      <c r="H29" s="3477">
        <f>H26</f>
        <v>2845</v>
      </c>
      <c r="I29" s="3477">
        <f>I26</f>
        <v>2281</v>
      </c>
      <c r="N29">
        <f>N20+N23+N26</f>
        <v>1781.23</v>
      </c>
      <c r="P29" s="3852">
        <f ca="1">P22+P25+P28</f>
        <v>4624806</v>
      </c>
      <c r="Q29" s="3852"/>
    </row>
    <row r="30" spans="4:17">
      <c r="D30" s="3670"/>
      <c r="E30" s="3673"/>
      <c r="F30" s="3670"/>
      <c r="G30" s="3674"/>
      <c r="H30" s="3675">
        <f>H27</f>
        <v>2619</v>
      </c>
      <c r="I30" s="3676"/>
      <c r="P30" s="3853">
        <f ca="1">ROUND(P29/N29,0)</f>
        <v>2596</v>
      </c>
      <c r="Q30" s="3853"/>
    </row>
    <row r="31" spans="4:17">
      <c r="D31" s="3671"/>
      <c r="E31" s="3674"/>
      <c r="F31" s="3671"/>
      <c r="G31" s="3476" t="s">
        <v>3468</v>
      </c>
      <c r="H31" s="3675">
        <f>ROUND(F29*H30,0)</f>
        <v>487396</v>
      </c>
      <c r="I31" s="3676"/>
    </row>
    <row r="32" spans="4:17">
      <c r="D32" s="3677">
        <v>4</v>
      </c>
      <c r="E32" s="3680" t="s">
        <v>3413</v>
      </c>
      <c r="F32" s="3677">
        <v>537.48</v>
      </c>
      <c r="G32" s="3680" t="s">
        <v>3467</v>
      </c>
      <c r="H32" s="3479">
        <f>G5</f>
        <v>2943</v>
      </c>
      <c r="I32" s="3479">
        <f>E5</f>
        <v>1887</v>
      </c>
    </row>
    <row r="33" spans="4:9">
      <c r="D33" s="3678"/>
      <c r="E33" s="3684"/>
      <c r="F33" s="3678"/>
      <c r="G33" s="3681"/>
      <c r="H33" s="3682">
        <f>I5</f>
        <v>2521</v>
      </c>
      <c r="I33" s="3683"/>
    </row>
    <row r="34" spans="4:9">
      <c r="D34" s="3679"/>
      <c r="E34" s="3681"/>
      <c r="F34" s="3679"/>
      <c r="G34" s="3480" t="s">
        <v>3468</v>
      </c>
      <c r="H34" s="3682">
        <f>ROUND(F32*H33,0)</f>
        <v>1354987</v>
      </c>
      <c r="I34" s="3683"/>
    </row>
    <row r="35" spans="4:9">
      <c r="D35" s="3685" t="s">
        <v>3470</v>
      </c>
      <c r="E35" s="3686"/>
      <c r="F35" s="3687"/>
      <c r="G35" s="3476" t="s">
        <v>3468</v>
      </c>
      <c r="H35" s="3675">
        <f ca="1">H19+H22+H25+H28+H31+H34</f>
        <v>11235077</v>
      </c>
      <c r="I35" s="3676"/>
    </row>
    <row r="36" spans="4:9">
      <c r="D36" s="3688"/>
      <c r="E36" s="3689"/>
      <c r="F36" s="3690"/>
      <c r="G36" s="3476" t="s">
        <v>3471</v>
      </c>
      <c r="H36" s="3667" t="s">
        <v>3472</v>
      </c>
      <c r="I36" s="3668"/>
    </row>
    <row r="37" spans="4:9" ht="15" thickBot="1">
      <c r="D37" s="3691"/>
      <c r="E37" s="3692"/>
      <c r="F37" s="3693"/>
      <c r="G37" s="3478" t="s">
        <v>3467</v>
      </c>
      <c r="H37" s="3694">
        <f ca="1">ROUND(H35/D6,0)</f>
        <v>3323</v>
      </c>
      <c r="I37" s="3695"/>
    </row>
    <row r="38" spans="4:9" ht="15" thickTop="1"/>
  </sheetData>
  <mergeCells count="62">
    <mergeCell ref="P29:Q29"/>
    <mergeCell ref="P30:Q30"/>
    <mergeCell ref="L26:L28"/>
    <mergeCell ref="M26:M28"/>
    <mergeCell ref="N26:N28"/>
    <mergeCell ref="O26:O27"/>
    <mergeCell ref="P27:Q27"/>
    <mergeCell ref="P28:Q28"/>
    <mergeCell ref="L23:L25"/>
    <mergeCell ref="M23:M25"/>
    <mergeCell ref="N23:N25"/>
    <mergeCell ref="O23:O24"/>
    <mergeCell ref="P24:Q24"/>
    <mergeCell ref="P25:Q25"/>
    <mergeCell ref="L20:L22"/>
    <mergeCell ref="M20:M22"/>
    <mergeCell ref="N20:N22"/>
    <mergeCell ref="O20:O21"/>
    <mergeCell ref="P21:Q21"/>
    <mergeCell ref="P22:Q22"/>
    <mergeCell ref="D35:F37"/>
    <mergeCell ref="H35:I35"/>
    <mergeCell ref="H36:I36"/>
    <mergeCell ref="H37:I37"/>
    <mergeCell ref="H31:I31"/>
    <mergeCell ref="D32:D34"/>
    <mergeCell ref="F32:F34"/>
    <mergeCell ref="G32:G33"/>
    <mergeCell ref="H33:I33"/>
    <mergeCell ref="H34:I34"/>
    <mergeCell ref="E32:E34"/>
    <mergeCell ref="E29:E31"/>
    <mergeCell ref="D29:D31"/>
    <mergeCell ref="F29:F31"/>
    <mergeCell ref="G29:G30"/>
    <mergeCell ref="H30:I30"/>
    <mergeCell ref="H25:I25"/>
    <mergeCell ref="D26:D28"/>
    <mergeCell ref="F26:F28"/>
    <mergeCell ref="G26:G27"/>
    <mergeCell ref="H27:I27"/>
    <mergeCell ref="H28:I28"/>
    <mergeCell ref="E26:E28"/>
    <mergeCell ref="E23:E25"/>
    <mergeCell ref="D23:D25"/>
    <mergeCell ref="F23:F25"/>
    <mergeCell ref="G23:G24"/>
    <mergeCell ref="H24:I24"/>
    <mergeCell ref="D20:D22"/>
    <mergeCell ref="F20:F22"/>
    <mergeCell ref="G20:G21"/>
    <mergeCell ref="H21:I21"/>
    <mergeCell ref="H22:I22"/>
    <mergeCell ref="E20:E22"/>
    <mergeCell ref="D15:G15"/>
    <mergeCell ref="H16:I16"/>
    <mergeCell ref="D17:D19"/>
    <mergeCell ref="E17:E19"/>
    <mergeCell ref="F17:F19"/>
    <mergeCell ref="G17:G18"/>
    <mergeCell ref="H18:I18"/>
    <mergeCell ref="H19:I19"/>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45" sqref="F4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3413</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371.99610000000001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2991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1237309</v>
      </c>
      <c r="D5" s="211" t="s">
        <v>1469</v>
      </c>
      <c r="E5" s="212" t="s">
        <v>1470</v>
      </c>
      <c r="F5" s="212" t="s">
        <v>1471</v>
      </c>
      <c r="G5" s="213"/>
    </row>
    <row r="6" spans="1:8" s="214" customFormat="1" ht="13.5" customHeight="1">
      <c r="A6" s="778" t="s">
        <v>1472</v>
      </c>
      <c r="B6" s="215" t="s">
        <v>1473</v>
      </c>
      <c r="C6" s="216">
        <f ca="1">ROUND(基准地价修正!C33*'成本法-仓库5.6'!D10,0)</f>
        <v>971369</v>
      </c>
      <c r="D6" s="217"/>
      <c r="E6" s="218"/>
      <c r="F6" s="218"/>
      <c r="G6" s="219"/>
    </row>
    <row r="7" spans="1:8" s="214" customFormat="1" ht="13.5" customHeight="1">
      <c r="A7" s="778" t="s">
        <v>1474</v>
      </c>
      <c r="B7" s="215" t="s">
        <v>1475</v>
      </c>
      <c r="C7" s="220">
        <f ca="1">ROUND(C6*F7,0)</f>
        <v>29627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236313</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236313</v>
      </c>
      <c r="D10" s="845">
        <f ca="1">IF(B1="",'数据-汇总表'!E6,IF(INDIRECT("'数据-取费表'!c"&amp;$G$1)="住宅",INDIRECT("'数据-取费表'!s"&amp;$G$1),INDIRECT("'数据-取费表'!k"&amp;$G$1)+INDIRECT("'数据-取费表'!s"&amp;$G$1)))</f>
        <v>1243.75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1243.75</v>
      </c>
      <c r="E19" s="211">
        <f>'数据-取费表'!B31</f>
        <v>200</v>
      </c>
      <c r="F19" s="231"/>
      <c r="G19" s="1856" t="s">
        <v>3436</v>
      </c>
    </row>
    <row r="20" spans="1:7" s="214" customFormat="1" ht="13.5" customHeight="1">
      <c r="A20" s="255" t="s">
        <v>1574</v>
      </c>
      <c r="B20" s="210" t="s">
        <v>1575</v>
      </c>
      <c r="C20" s="232">
        <f ca="1">ROUND((C5+C19)*F20,0)</f>
        <v>24746</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58551</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63103</v>
      </c>
      <c r="D27" s="235">
        <f ca="1">C29</f>
        <v>2.5000000000000001E-3</v>
      </c>
      <c r="E27" s="236" t="s">
        <v>1514</v>
      </c>
      <c r="F27" s="246">
        <f ca="1">IF(B1="",'数据-取费表'!Q16,INDIRECT("'数据-取费表'!q"&amp;$G$1))</f>
        <v>0.05</v>
      </c>
      <c r="G27" s="247" t="s">
        <v>1515</v>
      </c>
    </row>
    <row r="28" spans="1:7" s="214" customFormat="1" ht="13.5" customHeight="1">
      <c r="A28" s="780" t="s">
        <v>346</v>
      </c>
      <c r="B28" s="248" t="s">
        <v>1516</v>
      </c>
      <c r="C28" s="249">
        <f ca="1">ROUND((C5+C19+C20)*F27,0)</f>
        <v>63103</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1547946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2356907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1865625</v>
      </c>
      <c r="D34" s="217"/>
      <c r="E34" s="220"/>
      <c r="F34" s="257"/>
      <c r="G34" s="219"/>
    </row>
    <row r="35" spans="1:7" ht="13.5" customHeight="1">
      <c r="A35" s="780" t="s">
        <v>351</v>
      </c>
      <c r="B35" s="215" t="s">
        <v>1527</v>
      </c>
      <c r="C35" s="220">
        <f ca="1">ROUND(C34*F35,0)</f>
        <v>186563</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248750</v>
      </c>
      <c r="D37" s="217">
        <f ca="1">D19</f>
        <v>1243.75</v>
      </c>
      <c r="E37" s="249">
        <f>'数据-取费表'!B35</f>
        <v>200</v>
      </c>
      <c r="F37" s="259"/>
      <c r="G37" s="261"/>
    </row>
    <row r="38" spans="1:7" ht="13.5" customHeight="1">
      <c r="A38" s="780" t="s">
        <v>354</v>
      </c>
      <c r="B38" s="215" t="s">
        <v>1533</v>
      </c>
      <c r="C38" s="220">
        <f ca="1">ROUND(C34*F38,0)</f>
        <v>55969</v>
      </c>
      <c r="D38" s="220"/>
      <c r="E38" s="220"/>
      <c r="F38" s="259">
        <f>'数据-取费表'!B36</f>
        <v>0.03</v>
      </c>
      <c r="G38" s="219" t="s">
        <v>1528</v>
      </c>
    </row>
    <row r="39" spans="1:7" s="214" customFormat="1" ht="13.5" customHeight="1">
      <c r="A39" s="255" t="s">
        <v>1534</v>
      </c>
      <c r="B39" s="210" t="s">
        <v>1535</v>
      </c>
      <c r="C39" s="232">
        <f ca="1">ROUND(C33*F20,0)</f>
        <v>47138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36978</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36253</v>
      </c>
      <c r="D42" s="238"/>
      <c r="E42" s="238"/>
      <c r="F42" s="239"/>
      <c r="G42" s="3696" t="s">
        <v>1591</v>
      </c>
    </row>
    <row r="43" spans="1:7" ht="13.5" customHeight="1">
      <c r="A43" s="780" t="s">
        <v>347</v>
      </c>
      <c r="B43" s="215" t="s">
        <v>1545</v>
      </c>
      <c r="C43" s="238">
        <f ca="1">ROUND(IF('数据-取费表'!B22&lt;=1,C39*F22*'数据-取费表'!B20/2,C39*(POWER((1+F22),'数据-取费表'!B20/2)-1)),0)</f>
        <v>725</v>
      </c>
      <c r="D43" s="238"/>
      <c r="E43" s="238"/>
      <c r="F43" s="239"/>
      <c r="G43" s="3697"/>
    </row>
    <row r="44" spans="1:7" ht="13.5" customHeight="1">
      <c r="A44" s="780" t="s">
        <v>348</v>
      </c>
      <c r="B44" s="215" t="s">
        <v>1546</v>
      </c>
      <c r="C44" s="238">
        <f ca="1">ROUND(IF('数据-取费表'!B22&lt;=1,C40*F22*'数据-取费表'!B20/2,C40*(POWER((1+F22),'数据-取费表'!B20/2)-1)),4)</f>
        <v>8.0000000000000004E-4</v>
      </c>
      <c r="D44" s="238"/>
      <c r="E44" s="238"/>
      <c r="F44" s="239"/>
      <c r="G44" s="3698"/>
    </row>
    <row r="45" spans="1:7" s="214" customFormat="1" ht="13.5" customHeight="1">
      <c r="A45" s="255" t="s">
        <v>1547</v>
      </c>
      <c r="B45" s="244" t="s">
        <v>1513</v>
      </c>
      <c r="C45" s="245">
        <f ca="1">C46</f>
        <v>120202</v>
      </c>
      <c r="D45" s="235">
        <f ca="1">C47</f>
        <v>2.5000000000000001E-3</v>
      </c>
      <c r="E45" s="236" t="s">
        <v>1539</v>
      </c>
      <c r="F45" s="246">
        <f ca="1">F27</f>
        <v>0.05</v>
      </c>
      <c r="G45" s="247" t="s">
        <v>1548</v>
      </c>
    </row>
    <row r="46" spans="1:7" s="214" customFormat="1" ht="13.5" customHeight="1">
      <c r="A46" s="780" t="s">
        <v>346</v>
      </c>
      <c r="B46" s="248" t="s">
        <v>1549</v>
      </c>
      <c r="C46" s="249">
        <f ca="1">ROUND((C33+C39)*F27,0)</f>
        <v>120202</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2863944</v>
      </c>
      <c r="D49" s="232"/>
      <c r="E49" s="232"/>
      <c r="F49" s="264"/>
      <c r="G49" s="234" t="s">
        <v>1554</v>
      </c>
    </row>
    <row r="50" spans="1:7" s="258" customFormat="1">
      <c r="A50" s="255" t="s">
        <v>1555</v>
      </c>
      <c r="B50" s="210" t="s">
        <v>1556</v>
      </c>
      <c r="C50" s="232"/>
      <c r="D50" s="232"/>
      <c r="E50" s="232"/>
      <c r="F50" s="264">
        <f>'数据-取费表'!Y7</f>
        <v>0.75839999999999996</v>
      </c>
      <c r="G50" s="247"/>
    </row>
    <row r="51" spans="1:7" ht="16.5" customHeight="1">
      <c r="A51" s="255" t="s">
        <v>1558</v>
      </c>
      <c r="B51" s="210" t="s">
        <v>1593</v>
      </c>
      <c r="C51" s="232">
        <f ca="1">ROUND(C49*F50,0)</f>
        <v>2172015</v>
      </c>
      <c r="D51" s="232"/>
      <c r="E51" s="232"/>
      <c r="F51" s="264"/>
      <c r="G51" s="234" t="s">
        <v>1560</v>
      </c>
    </row>
    <row r="52" spans="1:7" s="208" customFormat="1" ht="16.8" thickBot="1">
      <c r="A52" s="265" t="s">
        <v>1561</v>
      </c>
      <c r="B52" s="266"/>
      <c r="C52" s="267">
        <f ca="1">C31+C51</f>
        <v>3719961</v>
      </c>
      <c r="D52" s="266"/>
      <c r="E52" s="266"/>
      <c r="F52" s="266"/>
      <c r="G52" s="268"/>
    </row>
    <row r="55" spans="1:7" ht="15">
      <c r="B55" s="270" t="s">
        <v>1562</v>
      </c>
      <c r="C55" s="271"/>
    </row>
    <row r="56" spans="1:7">
      <c r="B56" s="273" t="s">
        <v>802</v>
      </c>
      <c r="C56" s="275">
        <f ca="1">1-C57</f>
        <v>0.41600000000000004</v>
      </c>
    </row>
    <row r="57" spans="1:7">
      <c r="B57" s="273" t="s">
        <v>803</v>
      </c>
      <c r="C57" s="274">
        <f ca="1">ROUND(C51/C52,3)</f>
        <v>0.58399999999999996</v>
      </c>
    </row>
  </sheetData>
  <sheetProtection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K34" sqref="K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591.63070000000005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1214666</v>
      </c>
      <c r="D5" s="211" t="s">
        <v>1469</v>
      </c>
      <c r="E5" s="212" t="s">
        <v>1470</v>
      </c>
      <c r="F5" s="212" t="s">
        <v>1471</v>
      </c>
      <c r="G5" s="213"/>
    </row>
    <row r="6" spans="1:8" s="214" customFormat="1" ht="13.5" customHeight="1">
      <c r="A6" s="778" t="s">
        <v>1472</v>
      </c>
      <c r="B6" s="215" t="s">
        <v>1473</v>
      </c>
      <c r="C6" s="216">
        <f ca="1">ROUND(基准地价修正!C33*'成本法-办公楼1'!D10,0)</f>
        <v>953593</v>
      </c>
      <c r="D6" s="217"/>
      <c r="E6" s="218"/>
      <c r="F6" s="218"/>
      <c r="G6" s="219"/>
    </row>
    <row r="7" spans="1:8" s="214" customFormat="1" ht="13.5" customHeight="1">
      <c r="A7" s="778" t="s">
        <v>1474</v>
      </c>
      <c r="B7" s="215" t="s">
        <v>1475</v>
      </c>
      <c r="C7" s="220">
        <f ca="1">ROUND(C6*F7,0)</f>
        <v>29085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231988</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231988</v>
      </c>
      <c r="D10" s="845">
        <f ca="1">IF(B1="",'数据-汇总表'!E6,IF(INDIRECT("'数据-取费表'!c"&amp;$G$1)="住宅",INDIRECT("'数据-取费表'!s"&amp;$G$1),INDIRECT("'数据-取费表'!k"&amp;$G$1)+INDIRECT("'数据-取费表'!s"&amp;$G$1)))</f>
        <v>1220.99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1220.99</v>
      </c>
      <c r="E19" s="211">
        <f>'数据-取费表'!B31</f>
        <v>200</v>
      </c>
      <c r="F19" s="231"/>
      <c r="G19" s="1856" t="s">
        <v>3436</v>
      </c>
    </row>
    <row r="20" spans="1:7" s="214" customFormat="1" ht="13.5" customHeight="1">
      <c r="A20" s="255" t="s">
        <v>1574</v>
      </c>
      <c r="B20" s="210" t="s">
        <v>1575</v>
      </c>
      <c r="C20" s="232">
        <f ca="1">ROUND((C5+C19)*F20,0)</f>
        <v>24293</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57480</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56917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563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123896</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123896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1593376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4107410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3418772</v>
      </c>
      <c r="D34" s="217"/>
      <c r="E34" s="220"/>
      <c r="F34" s="257"/>
      <c r="G34" s="219"/>
    </row>
    <row r="35" spans="1:7" ht="13.5" customHeight="1">
      <c r="A35" s="780" t="s">
        <v>351</v>
      </c>
      <c r="B35" s="215" t="s">
        <v>1527</v>
      </c>
      <c r="C35" s="220">
        <f ca="1">ROUND(C34*F35,0)</f>
        <v>341877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244198</v>
      </c>
      <c r="D37" s="217">
        <f ca="1">D19</f>
        <v>1220.99</v>
      </c>
      <c r="E37" s="249">
        <f>'数据-取费表'!B35</f>
        <v>200</v>
      </c>
      <c r="F37" s="259"/>
      <c r="G37" s="261"/>
    </row>
    <row r="38" spans="1:7" ht="13.5" customHeight="1">
      <c r="A38" s="780" t="s">
        <v>354</v>
      </c>
      <c r="B38" s="215" t="s">
        <v>1533</v>
      </c>
      <c r="C38" s="220">
        <f ca="1">ROUND(C34*F38,0)</f>
        <v>102563</v>
      </c>
      <c r="D38" s="220"/>
      <c r="E38" s="220"/>
      <c r="F38" s="259">
        <f>'数据-取费表'!B36</f>
        <v>0.03</v>
      </c>
      <c r="G38" s="219" t="s">
        <v>1528</v>
      </c>
    </row>
    <row r="39" spans="1:7" s="214" customFormat="1" ht="13.5" customHeight="1">
      <c r="A39" s="255" t="s">
        <v>1534</v>
      </c>
      <c r="B39" s="210" t="s">
        <v>1535</v>
      </c>
      <c r="C39" s="232">
        <f ca="1">ROUND(C33*F20,0)</f>
        <v>82148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64443</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63179</v>
      </c>
      <c r="D42" s="238"/>
      <c r="E42" s="238"/>
      <c r="F42" s="239"/>
      <c r="G42" s="3696" t="s">
        <v>1591</v>
      </c>
    </row>
    <row r="43" spans="1:7" ht="13.5" customHeight="1">
      <c r="A43" s="780" t="s">
        <v>347</v>
      </c>
      <c r="B43" s="215" t="s">
        <v>1545</v>
      </c>
      <c r="C43" s="238">
        <f ca="1">ROUND(IF('数据-取费表'!B22&lt;=1,C39*F22*'数据-取费表'!B20/2,C39*(POWER((1+F22),'数据-取费表'!B20/2)-1)),0)</f>
        <v>1264</v>
      </c>
      <c r="D43" s="238"/>
      <c r="E43" s="238"/>
      <c r="F43" s="239"/>
      <c r="G43" s="3697"/>
    </row>
    <row r="44" spans="1:7" ht="13.5" customHeight="1">
      <c r="A44" s="780" t="s">
        <v>348</v>
      </c>
      <c r="B44" s="215" t="s">
        <v>1546</v>
      </c>
      <c r="C44" s="238">
        <f ca="1">ROUND(IF('数据-取费表'!B22&lt;=1,C40*F22*'数据-取费表'!B20/2,C40*(POWER((1+F22),'数据-取费表'!B20/2)-1)),4)</f>
        <v>8.0000000000000004E-4</v>
      </c>
      <c r="D44" s="238"/>
      <c r="E44" s="238"/>
      <c r="F44" s="239"/>
      <c r="G44" s="3698"/>
    </row>
    <row r="45" spans="1:7" s="214" customFormat="1" ht="13.5" customHeight="1">
      <c r="A45" s="255" t="s">
        <v>1547</v>
      </c>
      <c r="B45" s="244" t="s">
        <v>1513</v>
      </c>
      <c r="C45" s="245">
        <f ca="1">C46</f>
        <v>418956</v>
      </c>
      <c r="D45" s="235">
        <f ca="1">C47</f>
        <v>5.0000000000000001E-3</v>
      </c>
      <c r="E45" s="236" t="s">
        <v>1539</v>
      </c>
      <c r="F45" s="246">
        <f ca="1">F27</f>
        <v>0.1</v>
      </c>
      <c r="G45" s="247" t="s">
        <v>1548</v>
      </c>
    </row>
    <row r="46" spans="1:7" s="214" customFormat="1" ht="13.5" customHeight="1">
      <c r="A46" s="780" t="s">
        <v>346</v>
      </c>
      <c r="B46" s="248" t="s">
        <v>1549</v>
      </c>
      <c r="C46" s="249">
        <f ca="1">ROUND((C33+C39)*F27,0)</f>
        <v>418956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5239916</v>
      </c>
      <c r="D49" s="232"/>
      <c r="E49" s="232"/>
      <c r="F49" s="264"/>
      <c r="G49" s="234" t="s">
        <v>1554</v>
      </c>
    </row>
    <row r="50" spans="1:7" s="258" customFormat="1">
      <c r="A50" s="255" t="s">
        <v>1555</v>
      </c>
      <c r="B50" s="210" t="s">
        <v>1556</v>
      </c>
      <c r="C50" s="232"/>
      <c r="D50" s="232"/>
      <c r="E50" s="232"/>
      <c r="F50" s="264">
        <f>'数据-取费表'!Y6</f>
        <v>0.82499999999999996</v>
      </c>
      <c r="G50" s="247"/>
    </row>
    <row r="51" spans="1:7" ht="16.5" customHeight="1">
      <c r="A51" s="255" t="s">
        <v>1558</v>
      </c>
      <c r="B51" s="210" t="s">
        <v>1593</v>
      </c>
      <c r="C51" s="232">
        <f ca="1">ROUND(C49*F50,0)</f>
        <v>4322931</v>
      </c>
      <c r="D51" s="232"/>
      <c r="E51" s="232"/>
      <c r="F51" s="264"/>
      <c r="G51" s="234" t="s">
        <v>1560</v>
      </c>
    </row>
    <row r="52" spans="1:7" s="208" customFormat="1" ht="16.8" thickBot="1">
      <c r="A52" s="265" t="s">
        <v>1561</v>
      </c>
      <c r="B52" s="266"/>
      <c r="C52" s="267">
        <f ca="1">C31+C51</f>
        <v>5916307</v>
      </c>
      <c r="D52" s="266"/>
      <c r="E52" s="266"/>
      <c r="F52" s="266"/>
      <c r="G52" s="268"/>
    </row>
    <row r="55" spans="1:7" ht="15">
      <c r="B55" s="270" t="s">
        <v>1562</v>
      </c>
      <c r="C55" s="271"/>
    </row>
    <row r="56" spans="1:7">
      <c r="B56" s="273" t="s">
        <v>802</v>
      </c>
      <c r="C56" s="275">
        <f ca="1">1-C57</f>
        <v>0.26900000000000002</v>
      </c>
    </row>
    <row r="57" spans="1:7">
      <c r="B57" s="273" t="s">
        <v>803</v>
      </c>
      <c r="C57" s="274">
        <f ca="1">ROUND(C51/C52,3)</f>
        <v>0.73099999999999998</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7" sqref="C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1204</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2478</v>
      </c>
      <c r="F3" s="2004" t="s">
        <v>3438</v>
      </c>
      <c r="G3" s="752">
        <f>IF(F3="宗地容积率",'数据-汇总表'!I4,IF(F3="估价对象容积率",'数据-汇总表'!I6,'数据-汇总表'!I7))</f>
        <v>1</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928</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06"/>
      <c r="B4" s="3707"/>
      <c r="C4" s="3707"/>
      <c r="D4" s="3708"/>
      <c r="E4" s="3708"/>
      <c r="F4" s="3708"/>
      <c r="G4" s="3708"/>
      <c r="H4" s="3708"/>
      <c r="I4" s="3708"/>
      <c r="J4" s="370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757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880</v>
      </c>
      <c r="D5" s="1339">
        <f>ROUND(C6*C17+C20,0)</f>
        <v>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643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586</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03" t="s">
        <v>1960</v>
      </c>
      <c r="X8" s="370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880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705"/>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0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v>0</v>
      </c>
      <c r="F18" s="3324" t="s">
        <v>3250</v>
      </c>
      <c r="G18" s="3328">
        <f>ROUND(1-(1/(POWER(1+G24,E18))),4)</f>
        <v>0</v>
      </c>
      <c r="H18" s="3324" t="s">
        <v>3252</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10" t="s">
        <v>3253</v>
      </c>
      <c r="B20" s="167" t="s">
        <v>1994</v>
      </c>
      <c r="C20" s="3325">
        <f>ROUND(IF(F21="与级别开发程度一致",0,(G21-E21)/C21),0)</f>
        <v>0</v>
      </c>
      <c r="D20" s="3341" t="s">
        <v>1998</v>
      </c>
      <c r="E20" s="3342"/>
      <c r="F20" s="3716" t="s">
        <v>1995</v>
      </c>
      <c r="G20" s="3717"/>
      <c r="H20" s="3326" t="s">
        <v>3416</v>
      </c>
      <c r="I20" s="3326" t="s">
        <v>3417</v>
      </c>
      <c r="J20" s="3327" t="s">
        <v>3418</v>
      </c>
      <c r="K20" s="2047" t="s">
        <v>3419</v>
      </c>
      <c r="L20" s="2047" t="s">
        <v>3420</v>
      </c>
      <c r="M20" s="2047"/>
      <c r="N20" s="2047"/>
      <c r="O20" s="2048" t="s">
        <v>3421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1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45680</v>
      </c>
      <c r="H23" s="3343" t="s">
        <v>3255</v>
      </c>
      <c r="I23" s="3344" t="str">
        <f>IF(H23="季度增幅（自定义）",SUMIF(N25:N28,E2,O25:O28),"")</f>
        <v/>
      </c>
      <c r="J23" s="3446" t="s">
        <v>3254</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0.81510000000000005</v>
      </c>
      <c r="D24" s="2060" t="s">
        <v>2007</v>
      </c>
      <c r="E24" s="1335">
        <f>存贷款利率!E27/100</f>
        <v>4.3499999999999997E-2</v>
      </c>
      <c r="F24" s="2060" t="s">
        <v>1999</v>
      </c>
      <c r="G24" s="768">
        <f>SUMIF(M30:Q30,E2,M33:Q33)</f>
        <v>0.05</v>
      </c>
      <c r="H24" s="2060" t="s">
        <v>2008</v>
      </c>
      <c r="I24" s="769">
        <f>SUMIF('数据-取费表'!C6:C15,E2,'数据-取费表'!F6:F15)/COUNTIF('数据-取费表'!C6:C15,E2)</f>
        <v>27.93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1.0057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781</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117</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14"/>
      <c r="B37" s="2113" t="s">
        <v>2036</v>
      </c>
      <c r="C37" s="175">
        <f>ROUND(D5*C22*C23*C24*C28*F37,0)</f>
        <v>391</v>
      </c>
      <c r="D37" s="2098"/>
      <c r="E37" s="171">
        <f>ROUND(C37*D37/10000,0)</f>
        <v>0</v>
      </c>
      <c r="F37" s="171">
        <f>SUMIF(修正!A57:A68,G2,修正!B57:B68)</f>
        <v>0.5</v>
      </c>
      <c r="G37" s="171">
        <f>ROUND(IF(E2="工业",C37*$M$42,C37*$M$41),0)</f>
        <v>59</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15"/>
      <c r="B38" s="2041" t="s">
        <v>2037</v>
      </c>
      <c r="C38" s="175">
        <f>ROUND(D5*C22*C23*C24*C28*F38,0)</f>
        <v>156</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15"/>
      <c r="B39" s="2041" t="s">
        <v>3258</v>
      </c>
      <c r="C39" s="175">
        <f>ROUND(D5*C22*C23*C24*C28*F39,0)</f>
        <v>156</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156</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1.0057</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3472" t="s">
        <v>3447</v>
      </c>
      <c r="D83" s="1065">
        <f t="shared" ref="D83:D90" si="22">SUMIF($J$82:$N$82,C83,J83:N83)</f>
        <v>0</v>
      </c>
      <c r="E83" s="744">
        <f>ROUND(SUM(D83:D90),4)</f>
        <v>5.7000000000000002E-3</v>
      </c>
      <c r="F83" s="1814">
        <f>IF(E2="工业",SUMIF(L1:L12,G2,N1:N12),"——")</f>
        <v>0.14199999999999999</v>
      </c>
      <c r="G83" s="1063">
        <f>H83</f>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3472" t="s">
        <v>3447</v>
      </c>
      <c r="D84" s="1065">
        <f t="shared" si="22"/>
        <v>0</v>
      </c>
      <c r="E84" s="747"/>
      <c r="F84" s="1814"/>
      <c r="G84" s="1063">
        <f t="shared" ref="G84:G90" si="27">H84</f>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48">
      <c r="A85" s="3369" t="s">
        <v>3269</v>
      </c>
      <c r="B85" s="2134">
        <f>估价对象房地状况!G17</f>
        <v>0</v>
      </c>
      <c r="C85" s="3472" t="s">
        <v>3448</v>
      </c>
      <c r="D85" s="1065">
        <f t="shared" si="22"/>
        <v>7.1000000000000004E-3</v>
      </c>
      <c r="E85" s="747"/>
      <c r="F85" s="1814"/>
      <c r="G85" s="1063">
        <f t="shared" si="27"/>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3.8">
      <c r="A86" s="2130" t="s">
        <v>2067</v>
      </c>
      <c r="B86" s="2134">
        <f>估价对象房地状况!G22</f>
        <v>0</v>
      </c>
      <c r="C86" s="3472" t="s">
        <v>3449</v>
      </c>
      <c r="D86" s="1065">
        <f t="shared" si="22"/>
        <v>7.0000000000000001E-3</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6.4">
      <c r="A87" s="2130" t="s">
        <v>2059</v>
      </c>
      <c r="B87" s="1326" t="str">
        <f>估价对象房地状况!G19</f>
        <v>估价对象所在区域公共配套设施齐备情况</v>
      </c>
      <c r="C87" s="2044" t="s">
        <v>3450</v>
      </c>
      <c r="D87" s="1065">
        <f t="shared" si="22"/>
        <v>-4.1999999999999997E-3</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6.4">
      <c r="A88" s="2130" t="s">
        <v>2060</v>
      </c>
      <c r="B88" s="1326" t="str">
        <f>估价对象房地状况!G20</f>
        <v>估价对象所在区域基础设施水平</v>
      </c>
      <c r="C88" s="2044" t="s">
        <v>3447</v>
      </c>
      <c r="D88" s="1065">
        <f t="shared" si="22"/>
        <v>0</v>
      </c>
      <c r="E88" s="747"/>
      <c r="F88" s="1814"/>
      <c r="G88" s="1063">
        <f t="shared" si="27"/>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36">
      <c r="A89" s="2130" t="s">
        <v>2057</v>
      </c>
      <c r="B89" s="2136" t="s">
        <v>2071</v>
      </c>
      <c r="C89" s="2044" t="s">
        <v>3450</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40.200000000000003" thickBot="1">
      <c r="A90" s="2138" t="s">
        <v>2072</v>
      </c>
      <c r="B90" s="2143" t="str">
        <f>估价对象房地状况!G18</f>
        <v>该园区内是否有污染型企业，绿化情况，卫生条件，整体环境状况判断</v>
      </c>
      <c r="C90" s="2044" t="s">
        <v>3447</v>
      </c>
      <c r="D90" s="1065">
        <f t="shared" si="22"/>
        <v>0</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12" t="s">
        <v>3293</v>
      </c>
      <c r="B103" s="3712"/>
      <c r="C103" s="3712"/>
      <c r="D103" s="3712"/>
      <c r="E103" s="3712"/>
      <c r="F103" s="3712"/>
      <c r="G103" s="3712"/>
      <c r="H103" s="3712"/>
      <c r="I103" s="3712"/>
      <c r="J103" s="3712"/>
      <c r="K103" s="3390"/>
      <c r="L103" s="3390"/>
      <c r="M103" s="3390"/>
      <c r="N103" s="3390"/>
    </row>
    <row r="104" spans="1:14">
      <c r="A104" s="3713" t="s">
        <v>3294</v>
      </c>
      <c r="B104" s="3713" t="s">
        <v>3295</v>
      </c>
      <c r="C104" s="3391" t="s">
        <v>3296</v>
      </c>
      <c r="D104" s="3392"/>
      <c r="E104" s="3392"/>
      <c r="F104" s="3392"/>
      <c r="G104" s="3392"/>
      <c r="H104" s="3392"/>
      <c r="I104" s="3392"/>
      <c r="J104" s="3393"/>
      <c r="K104" s="3394"/>
      <c r="L104" s="3394"/>
      <c r="M104" s="3394"/>
      <c r="N104" s="3394"/>
    </row>
    <row r="105" spans="1:14">
      <c r="A105" s="3713"/>
      <c r="B105" s="3713"/>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99"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0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0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0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0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00"/>
      <c r="B111" s="3395" t="s">
        <v>3267</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01"/>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02" t="s">
        <v>3310</v>
      </c>
      <c r="B113" s="3702"/>
      <c r="C113" s="3702"/>
      <c r="D113" s="3702"/>
      <c r="E113" s="3702"/>
      <c r="F113" s="3702"/>
      <c r="G113" s="3702"/>
      <c r="H113" s="3702"/>
      <c r="I113" s="3702"/>
      <c r="J113" s="370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v>
      </c>
      <c r="C116" s="3400" t="s">
        <v>3312</v>
      </c>
      <c r="D116" s="3401">
        <f>SUMPRODUCT((A118:A122=F116)*(B117:M117=H116)*B118:M122)</f>
        <v>0.57150000000000001</v>
      </c>
      <c r="E116" s="2000" t="s">
        <v>3313</v>
      </c>
      <c r="F116" s="3402" t="str">
        <f>E2</f>
        <v>工业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8"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2611</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705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2860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47</v>
      </c>
      <c r="D10" s="845">
        <f ca="1">IF(B1="",'数据-汇总表'!E6,IF(INDIRECT("'数据-取费表'!c"&amp;$G$1)="住宅",INDIRECT("'数据-取费表'!s"&amp;$G$1),INDIRECT("'数据-取费表'!k"&amp;$G$1)+INDIRECT("'数据-取费表'!s"&amp;$G$1)))</f>
        <v>2464.7399999999998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2464.7399999999998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2</v>
      </c>
      <c r="D22" s="235">
        <f ca="1">C26</f>
        <v>1.1999999999999999E-3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4</v>
      </c>
      <c r="D27" s="235">
        <f ca="1">C29</f>
        <v>3.5000000000000001E-3</v>
      </c>
      <c r="E27" s="236" t="s">
        <v>1514</v>
      </c>
      <c r="F27" s="246">
        <f ca="1">IF(B1="",'数据-取费表'!Q16,INDIRECT("'数据-取费表'!q"&amp;$G$1))</f>
        <v>7.0000000000000007E-2</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3.5000000000000001E-3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529</v>
      </c>
      <c r="D34" s="217"/>
      <c r="E34" s="220"/>
      <c r="F34" s="257">
        <f ca="1">IF('数据-取费表'!B24=0,1,IF(B1="",'数据-取费表'!N16,INDIRECT("'数据-取费表'!n"&amp;$G$1)))</f>
        <v>1</v>
      </c>
      <c r="G34" s="219" t="s">
        <v>1526</v>
      </c>
    </row>
    <row r="35" spans="1:7" ht="13.5" customHeight="1">
      <c r="A35" s="780" t="s">
        <v>351</v>
      </c>
      <c r="B35" s="215" t="s">
        <v>1527</v>
      </c>
      <c r="C35" s="220">
        <f ca="1">ROUND(C34*F35,0)</f>
        <v>53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49</v>
      </c>
      <c r="D37" s="217">
        <f ca="1">D19</f>
        <v>2464.7399999999998</v>
      </c>
      <c r="E37" s="249">
        <f>'数据-取费表'!B35</f>
        <v>200</v>
      </c>
      <c r="F37" s="259"/>
      <c r="G37" s="261" t="s">
        <v>1532</v>
      </c>
    </row>
    <row r="38" spans="1:7" ht="13.5" customHeight="1">
      <c r="A38" s="780" t="s">
        <v>354</v>
      </c>
      <c r="B38" s="215" t="s">
        <v>1533</v>
      </c>
      <c r="C38" s="220">
        <f ca="1">ROUND(C34*F38,0)</f>
        <v>16</v>
      </c>
      <c r="D38" s="220"/>
      <c r="E38" s="220"/>
      <c r="F38" s="259">
        <f>'数据-取费表'!B36</f>
        <v>0.03</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10</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96" t="s">
        <v>1544</v>
      </c>
    </row>
    <row r="43" spans="1:7" ht="13.5" customHeight="1">
      <c r="A43" s="780" t="s">
        <v>347</v>
      </c>
      <c r="B43" s="215" t="s">
        <v>1545</v>
      </c>
      <c r="C43" s="238">
        <f ca="1">ROUND(IF('数据-取费表'!B22&lt;=1,C39*F22*'数据-取费表'!B21/2,C39*(POWER((1+F22),'数据-取费表'!B21/2)-1)),0)</f>
        <v>0</v>
      </c>
      <c r="D43" s="238"/>
      <c r="E43" s="238"/>
      <c r="F43" s="239"/>
      <c r="G43" s="3697"/>
    </row>
    <row r="44" spans="1:7" ht="13.5" customHeight="1">
      <c r="A44" s="780" t="s">
        <v>348</v>
      </c>
      <c r="B44" s="215" t="s">
        <v>1546</v>
      </c>
      <c r="C44" s="238">
        <f ca="1">ROUND(IF('数据-取费表'!B22&lt;=1,C40*F22*'数据-取费表'!B21/2,C40*(POWER((1+F22),'数据-取费表'!B21/2)-1)),4)</f>
        <v>8.0000000000000004E-4</v>
      </c>
      <c r="D44" s="238"/>
      <c r="E44" s="238"/>
      <c r="F44" s="239"/>
      <c r="G44" s="3698"/>
    </row>
    <row r="45" spans="1:7" s="214" customFormat="1" ht="13.5" customHeight="1">
      <c r="A45" s="255" t="s">
        <v>1547</v>
      </c>
      <c r="B45" s="244" t="s">
        <v>1513</v>
      </c>
      <c r="C45" s="245">
        <f ca="1">C46</f>
        <v>46</v>
      </c>
      <c r="D45" s="235">
        <f ca="1">C47</f>
        <v>3.5000000000000001E-3</v>
      </c>
      <c r="E45" s="236" t="s">
        <v>1539</v>
      </c>
      <c r="F45" s="246">
        <f ca="1">F27</f>
        <v>7.0000000000000007E-2</v>
      </c>
      <c r="G45" s="247" t="s">
        <v>1548</v>
      </c>
    </row>
    <row r="46" spans="1:7" s="214" customFormat="1" ht="13.5" customHeight="1">
      <c r="A46" s="780" t="s">
        <v>346</v>
      </c>
      <c r="B46" s="248" t="s">
        <v>1549</v>
      </c>
      <c r="C46" s="249">
        <f ca="1">ROUND((C33+C39)*F27,0)</f>
        <v>46</v>
      </c>
      <c r="D46" s="263"/>
      <c r="E46" s="236"/>
      <c r="F46" s="246"/>
      <c r="G46" s="247"/>
    </row>
    <row r="47" spans="1:7" s="214" customFormat="1" ht="13.5" customHeight="1">
      <c r="A47" s="780" t="s">
        <v>347</v>
      </c>
      <c r="B47" s="248" t="s">
        <v>1550</v>
      </c>
      <c r="C47" s="238">
        <f ca="1">ROUND(C40*F27,4)</f>
        <v>3.5000000000000001E-3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802</v>
      </c>
      <c r="D49" s="232"/>
      <c r="E49" s="232"/>
      <c r="F49" s="264"/>
      <c r="G49" s="234" t="s">
        <v>1554</v>
      </c>
    </row>
    <row r="50" spans="1:7" s="258" customFormat="1" ht="24">
      <c r="A50" s="255" t="s">
        <v>1555</v>
      </c>
      <c r="B50" s="210" t="s">
        <v>1556</v>
      </c>
      <c r="C50" s="232"/>
      <c r="D50" s="232"/>
      <c r="E50" s="232"/>
      <c r="F50" s="264">
        <f>IF('数据-取费表'!B24=0,'数据-取费表'!N16,1)</f>
        <v>0.80100000000000005</v>
      </c>
      <c r="G50" s="247" t="s">
        <v>1557</v>
      </c>
    </row>
    <row r="51" spans="1:7" ht="16.5" customHeight="1">
      <c r="A51" s="255" t="s">
        <v>1558</v>
      </c>
      <c r="B51" s="210" t="s">
        <v>1559</v>
      </c>
      <c r="C51" s="232">
        <f ca="1">ROUND(C49*F50,0)</f>
        <v>642</v>
      </c>
      <c r="D51" s="232"/>
      <c r="E51" s="232"/>
      <c r="F51" s="264"/>
      <c r="G51" s="234" t="s">
        <v>1560</v>
      </c>
    </row>
    <row r="52" spans="1:7" s="208" customFormat="1" ht="16.8" thickBot="1">
      <c r="A52" s="265" t="s">
        <v>1561</v>
      </c>
      <c r="B52" s="266"/>
      <c r="C52" s="267">
        <f ca="1">C31+C51</f>
        <v>705</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-50</v>
      </c>
      <c r="C2" s="276" t="s">
        <v>1595</v>
      </c>
      <c r="D2" s="276"/>
      <c r="E2" s="2806"/>
      <c r="F2" s="2806"/>
      <c r="G2" s="2806"/>
      <c r="H2" s="2806"/>
      <c r="I2" s="2806"/>
      <c r="J2" s="2806"/>
      <c r="K2" s="2806"/>
    </row>
    <row r="3" spans="1:33" ht="18" customHeight="1" thickBot="1">
      <c r="A3" s="203" t="s">
        <v>1464</v>
      </c>
      <c r="B3" s="204">
        <f ca="1">ROUND(B2*10000/IF(C1="",'数据-汇总表'!E3,INDIRECT("'数据-取费表'!K"&amp;$K$1)),0)</f>
        <v>-203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2464.7399999999998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2464.7399999999998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47</v>
      </c>
      <c r="D20" s="846">
        <f ca="1">IF(C1="",'数据-汇总表'!E6,IF(INDIRECT("'数据-取费表'!c"&amp;$K$1)="住宅",INDIRECT("'数据-取费表'!s"&amp;$K$1),INDIRECT("'数据-取费表'!k"&amp;$K$1)+INDIRECT("'数据-取费表'!s"&amp;$K$1)))</f>
        <v>2464.7399999999998</v>
      </c>
      <c r="E20" s="21">
        <f>'数据-取费表'!B28</f>
        <v>190</v>
      </c>
      <c r="F20" s="804"/>
      <c r="G20" s="12"/>
      <c r="H20" s="809"/>
      <c r="I20" s="809"/>
      <c r="J20" s="809"/>
      <c r="K20" s="810"/>
    </row>
    <row r="21" spans="1:33" s="803" customFormat="1" ht="13.5" customHeight="1">
      <c r="A21" s="790" t="s">
        <v>357</v>
      </c>
      <c r="B21" s="813" t="s">
        <v>1628</v>
      </c>
      <c r="C21" s="814">
        <f ca="1">C16+C17+C18</f>
        <v>47</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7.0000000000000007E-2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0" t="s">
        <v>694</v>
      </c>
      <c r="C6" s="1074">
        <f ca="1">ROUND(F6*F8*F7*(1-F9)/10000,0)</f>
        <v>0</v>
      </c>
      <c r="D6" s="155" t="s">
        <v>2109</v>
      </c>
      <c r="E6" s="302" t="s">
        <v>696</v>
      </c>
      <c r="F6" s="303">
        <f ca="1">INDIRECT("'数据-取费表'!u"&amp;$G$1)</f>
        <v>0</v>
      </c>
      <c r="G6" s="1384"/>
      <c r="H6" s="1069" t="s">
        <v>398</v>
      </c>
      <c r="I6" s="3720" t="s">
        <v>694</v>
      </c>
      <c r="J6" s="301">
        <f ca="1">ROUND(M6*M8*M7*(1-M9)/10000,0)</f>
        <v>0</v>
      </c>
      <c r="K6" s="155" t="s">
        <v>2108</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0</v>
      </c>
      <c r="G7" s="1384"/>
      <c r="H7" s="304"/>
      <c r="I7" s="3721"/>
      <c r="J7" s="306"/>
      <c r="K7" s="307"/>
      <c r="L7" s="302" t="s">
        <v>697</v>
      </c>
      <c r="M7" s="303">
        <f ca="1">F7</f>
        <v>0</v>
      </c>
    </row>
    <row r="8" spans="1:37" ht="18" customHeight="1">
      <c r="A8" s="304"/>
      <c r="B8" s="3721"/>
      <c r="C8" s="306"/>
      <c r="D8" s="307"/>
      <c r="E8" s="302" t="s">
        <v>698</v>
      </c>
      <c r="F8" s="303">
        <f ca="1">INDIRECT("'数据-取费表'!ai"&amp;$G$1)</f>
        <v>0</v>
      </c>
      <c r="G8" s="1384"/>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18" t="s">
        <v>837</v>
      </c>
      <c r="L53" s="371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58" sqref="J5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3410</v>
      </c>
      <c r="D1" s="1362" t="s">
        <v>43</v>
      </c>
      <c r="E1" s="1363" t="s">
        <v>678</v>
      </c>
      <c r="F1" s="1062">
        <f ca="1">J53</f>
        <v>27.93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517.25440000000003</v>
      </c>
      <c r="C2" s="1387" t="s">
        <v>879</v>
      </c>
      <c r="D2" s="1471">
        <f ca="1">C40+J29+L46</f>
        <v>5172544</v>
      </c>
      <c r="E2" s="1388" t="s">
        <v>880</v>
      </c>
      <c r="F2" s="1389"/>
      <c r="G2" s="2706"/>
      <c r="H2" s="2695"/>
      <c r="I2" s="2695"/>
      <c r="J2" s="2695"/>
      <c r="K2" s="2696"/>
      <c r="L2" s="2695"/>
      <c r="M2" s="2695"/>
    </row>
    <row r="3" spans="1:37" ht="18" customHeight="1" thickBot="1">
      <c r="A3" s="1390" t="s">
        <v>881</v>
      </c>
      <c r="B3" s="1391">
        <f ca="1">IF(ISERROR(D2/F43),0,ROUND(D2/F43,0))</f>
        <v>4236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401596</v>
      </c>
      <c r="D5" s="1364" t="s">
        <v>889</v>
      </c>
      <c r="E5" s="1071"/>
      <c r="F5" s="1072"/>
      <c r="G5" s="1384"/>
      <c r="H5" s="299">
        <v>1</v>
      </c>
      <c r="I5" s="300" t="s">
        <v>888</v>
      </c>
      <c r="J5" s="1070">
        <f ca="1">J6+J10+J12</f>
        <v>0</v>
      </c>
      <c r="K5" s="1364" t="s">
        <v>889</v>
      </c>
      <c r="L5" s="1071"/>
      <c r="M5" s="1072"/>
    </row>
    <row r="6" spans="1:37" ht="18" customHeight="1">
      <c r="A6" s="1069" t="s">
        <v>398</v>
      </c>
      <c r="B6" s="3720" t="s">
        <v>694</v>
      </c>
      <c r="C6" s="1074">
        <f ca="1">ROUND(F6*F8*F7*(1-F9),0)</f>
        <v>401095</v>
      </c>
      <c r="D6" s="155" t="s">
        <v>2106</v>
      </c>
      <c r="E6" s="302" t="s">
        <v>696</v>
      </c>
      <c r="F6" s="303">
        <f ca="1">INDIRECT("'数据-取费表'!u"&amp;$G$1)</f>
        <v>1</v>
      </c>
      <c r="G6" s="1384"/>
      <c r="H6" s="1069" t="s">
        <v>398</v>
      </c>
      <c r="I6" s="3720" t="s">
        <v>694</v>
      </c>
      <c r="J6" s="301">
        <f ca="1">ROUND(M6*M8*M7*(1-M9),0)</f>
        <v>0</v>
      </c>
      <c r="K6" s="1376" t="s">
        <v>2107</v>
      </c>
      <c r="L6" s="302" t="s">
        <v>696</v>
      </c>
      <c r="M6" s="303">
        <f ca="1">INDIRECT("'数据-取费表'!z"&amp;$G$1)</f>
        <v>0</v>
      </c>
    </row>
    <row r="7" spans="1:37" ht="18" customHeight="1">
      <c r="A7" s="1073"/>
      <c r="B7" s="3721"/>
      <c r="C7" s="1075"/>
      <c r="D7" s="307"/>
      <c r="E7" s="3461" t="s">
        <v>697</v>
      </c>
      <c r="F7" s="303">
        <f ca="1">IF(INDIRECT("'数据-取费表'!ah"&amp;$G$1)="",INDIRECT("'数据-取费表'!k"&amp;$G$1),INDIRECT("'数据-取费表'!ah"&amp;$G$1))</f>
        <v>1220.99</v>
      </c>
      <c r="G7" s="1384"/>
      <c r="H7" s="304"/>
      <c r="I7" s="3721"/>
      <c r="J7" s="306"/>
      <c r="K7" s="307"/>
      <c r="L7" s="302" t="s">
        <v>697</v>
      </c>
      <c r="M7" s="303">
        <f ca="1">F7</f>
        <v>1220.99</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501</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4322931</v>
      </c>
      <c r="D13" s="3458" t="s">
        <v>705</v>
      </c>
      <c r="E13" s="3458" t="s">
        <v>706</v>
      </c>
      <c r="F13" s="1082">
        <f ca="1">INDIRECT("'数据-取费表'!y"&amp;$G$1)</f>
        <v>0.82499999999999996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3418772</v>
      </c>
      <c r="D14" s="3464" t="s">
        <v>708</v>
      </c>
      <c r="E14" s="3463"/>
      <c r="F14" s="319"/>
      <c r="G14" s="1384"/>
      <c r="H14" s="982" t="s">
        <v>398</v>
      </c>
      <c r="I14" s="302" t="s">
        <v>709</v>
      </c>
      <c r="J14" s="21">
        <f ca="1">C29</f>
        <v>5239916</v>
      </c>
      <c r="K14" s="3460"/>
      <c r="L14" s="807"/>
      <c r="M14" s="808"/>
    </row>
    <row r="15" spans="1:37" s="1397" customFormat="1" ht="18" customHeight="1" thickBot="1">
      <c r="A15" s="982" t="s">
        <v>399</v>
      </c>
      <c r="B15" s="302" t="s">
        <v>710</v>
      </c>
      <c r="C15" s="21">
        <f ca="1">ROUND(C14*F15,0)</f>
        <v>341877</v>
      </c>
      <c r="D15" s="3459" t="s">
        <v>711</v>
      </c>
      <c r="E15" s="3459"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54876</v>
      </c>
      <c r="K16" s="1087" t="s">
        <v>715</v>
      </c>
      <c r="L16" s="3466"/>
      <c r="M16" s="1072"/>
    </row>
    <row r="17" spans="1:37" s="1397" customFormat="1" ht="18" customHeight="1">
      <c r="A17" s="982" t="s">
        <v>681</v>
      </c>
      <c r="B17" s="302" t="s">
        <v>716</v>
      </c>
      <c r="C17" s="21">
        <f ca="1">ROUND(F17*(F43+INDIRECT("'数据-取费表'!S"&amp;$G$1)),0)</f>
        <v>244198</v>
      </c>
      <c r="D17" s="302" t="s">
        <v>717</v>
      </c>
      <c r="E17" s="302" t="s">
        <v>718</v>
      </c>
      <c r="F17" s="23">
        <f>'数据-取费表'!B35</f>
        <v>200</v>
      </c>
      <c r="G17" s="1396"/>
      <c r="H17" s="982" t="s">
        <v>398</v>
      </c>
      <c r="I17" s="302" t="s">
        <v>719</v>
      </c>
      <c r="J17" s="2316">
        <f ca="1">ROUND(IF(AND(项目基本情况!B11="自然人",项目基本情况!B10="北京市"),J6*M17/(1+'数据-取费表'!C42),J18+J19+J20),0)</f>
        <v>2477</v>
      </c>
      <c r="K17" s="3464" t="s">
        <v>720</v>
      </c>
      <c r="L17" s="346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102563</v>
      </c>
      <c r="D18" s="302" t="s">
        <v>711</v>
      </c>
      <c r="E18" s="302" t="s">
        <v>712</v>
      </c>
      <c r="F18" s="322">
        <f>'数据-取费表'!B36</f>
        <v>0.03</v>
      </c>
      <c r="G18" s="1396"/>
      <c r="H18" s="982" t="s">
        <v>397</v>
      </c>
      <c r="I18" s="302" t="s">
        <v>723</v>
      </c>
      <c r="J18" s="21">
        <f ca="1">ROUND(J6*M18/(1+'数据-取费表'!C42),0)</f>
        <v>0</v>
      </c>
      <c r="K18" s="346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4107410</v>
      </c>
      <c r="D19" s="131" t="s">
        <v>726</v>
      </c>
      <c r="E19" s="3468"/>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82148</v>
      </c>
      <c r="D20" s="2428" t="s">
        <v>729</v>
      </c>
      <c r="E20" s="302" t="s">
        <v>712</v>
      </c>
      <c r="F20" s="322">
        <f>'数据-取费表'!B37</f>
        <v>0.02</v>
      </c>
      <c r="G20" s="1396"/>
      <c r="H20" s="982" t="s">
        <v>680</v>
      </c>
      <c r="I20" s="155" t="s">
        <v>730</v>
      </c>
      <c r="J20" s="22">
        <f ca="1">ROUND(M20*M21,0)</f>
        <v>2477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0.05</v>
      </c>
      <c r="G21" s="1396"/>
      <c r="H21" s="326"/>
      <c r="I21" s="311"/>
      <c r="J21" s="26"/>
      <c r="K21" s="327"/>
      <c r="L21" s="302" t="s">
        <v>736</v>
      </c>
      <c r="M21" s="303">
        <f ca="1">INDIRECT("'数据-取费表'!r"&amp;$G$1)</f>
        <v>1651.11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52399</v>
      </c>
      <c r="K22" s="346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64443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465"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683</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-54876</v>
      </c>
      <c r="K25" s="1095" t="s">
        <v>753</v>
      </c>
      <c r="L25" s="1096"/>
      <c r="M25" s="1097"/>
    </row>
    <row r="26" spans="1:37" ht="18" customHeight="1">
      <c r="A26" s="982" t="s">
        <v>397</v>
      </c>
      <c r="B26" s="302" t="s">
        <v>754</v>
      </c>
      <c r="C26" s="21">
        <f ca="1">ROUND((C19+C20)*F26,0)</f>
        <v>418956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5239916</v>
      </c>
      <c r="D29" s="1092"/>
      <c r="E29" s="1090"/>
      <c r="F29" s="1093"/>
      <c r="G29" s="1396"/>
      <c r="H29" s="334" t="s">
        <v>396</v>
      </c>
      <c r="I29" s="335" t="s">
        <v>768</v>
      </c>
      <c r="J29" s="336">
        <f ca="1">ROUND(J26/(1+F40)^F41,0)</f>
        <v>0</v>
      </c>
      <c r="K29" s="337" t="s">
        <v>769</v>
      </c>
      <c r="L29" s="338"/>
      <c r="M29" s="339">
        <f ca="1">INDIRECT("'数据-取费表'!k"&amp;$G$1)</f>
        <v>1220.99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134233</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69326</v>
      </c>
      <c r="D31" s="3464" t="s">
        <v>720</v>
      </c>
      <c r="E31" s="3465"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21010</v>
      </c>
      <c r="D32" s="3465"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45839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2477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1651.11</v>
      </c>
      <c r="G35" s="1384"/>
      <c r="H35" s="2697"/>
      <c r="I35" s="1398"/>
      <c r="J35" s="1399"/>
      <c r="K35" s="2701"/>
      <c r="L35" s="2700"/>
      <c r="M35" s="2700"/>
    </row>
    <row r="36" spans="1:18" ht="18" customHeight="1">
      <c r="A36" s="1102" t="s">
        <v>402</v>
      </c>
      <c r="B36" s="302" t="s">
        <v>738</v>
      </c>
      <c r="C36" s="21">
        <f ca="1">ROUND(C29*F36,0)</f>
        <v>52399</v>
      </c>
      <c r="D36" s="3465"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6484</v>
      </c>
      <c r="D37" s="3465" t="s">
        <v>743</v>
      </c>
      <c r="E37" s="302" t="s">
        <v>744</v>
      </c>
      <c r="F37" s="330">
        <f ca="1">INDIRECT("'数据-取费表'!Al"&amp;$G$1)</f>
        <v>1.5E-3</v>
      </c>
      <c r="G37" s="1384"/>
      <c r="H37" s="2700"/>
      <c r="I37" s="1398"/>
      <c r="J37" s="1399"/>
      <c r="K37" s="2544"/>
      <c r="L37" s="2700"/>
      <c r="M37" s="2700"/>
    </row>
    <row r="38" spans="1:18" ht="18" customHeight="1" thickBot="1">
      <c r="A38" s="1089" t="s">
        <v>683</v>
      </c>
      <c r="B38" s="1090" t="s">
        <v>728</v>
      </c>
      <c r="C38" s="1091">
        <f ca="1">ROUND(C5*F38,0)</f>
        <v>6024</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267363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4702712</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3852</v>
      </c>
      <c r="D43" s="337" t="s">
        <v>777</v>
      </c>
      <c r="E43" s="338" t="s">
        <v>778</v>
      </c>
      <c r="F43" s="339">
        <f ca="1">INDIRECT("'数据-取费表'!k"&amp;$G$1)</f>
        <v>1220.99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-572.37509999999997</v>
      </c>
      <c r="D45" s="3432" t="s">
        <v>3352</v>
      </c>
      <c r="E45" s="1400"/>
      <c r="F45" s="1400"/>
      <c r="O45" s="1403" t="s">
        <v>808</v>
      </c>
      <c r="P45" s="1461"/>
      <c r="Q45" s="1461"/>
      <c r="R45" s="1461"/>
    </row>
    <row r="46" spans="1:18" s="1384" customFormat="1" ht="13.8" thickBot="1">
      <c r="A46" s="1404" t="s">
        <v>809</v>
      </c>
      <c r="C46" s="1405">
        <f ca="1">ROUND(C45,0)</f>
        <v>-572</v>
      </c>
      <c r="D46" s="1406" t="str">
        <f>C2</f>
        <v>万元</v>
      </c>
      <c r="I46" s="1407" t="s">
        <v>810</v>
      </c>
      <c r="J46" s="1408"/>
      <c r="K46" s="1409"/>
      <c r="L46" s="1410">
        <f ca="1">IF(M47="住宅",0,IF(L48&gt;J51,L60,J60))</f>
        <v>469832</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4702712</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3431</v>
      </c>
      <c r="K48" s="1423" t="s">
        <v>820</v>
      </c>
      <c r="L48" s="1424">
        <f ca="1">INDIRECT("'数据-取费表'!f"&amp;$G$1)</f>
        <v>27.93</v>
      </c>
      <c r="O48" s="1418" t="s">
        <v>404</v>
      </c>
      <c r="P48" s="1419" t="s">
        <v>821</v>
      </c>
      <c r="Q48" s="1420">
        <f ca="1">J60</f>
        <v>469832</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5239916</v>
      </c>
      <c r="R49" s="1420" t="s">
        <v>818</v>
      </c>
    </row>
    <row r="50" spans="1:18" s="1384" customFormat="1" ht="13.8" thickBot="1">
      <c r="A50" s="976"/>
      <c r="B50" s="979"/>
      <c r="C50" s="980"/>
      <c r="D50" s="953"/>
      <c r="E50" s="1056" t="s">
        <v>697</v>
      </c>
      <c r="F50" s="1057">
        <f ca="1">F7</f>
        <v>1220.99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1080795</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27.93</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718" t="s">
        <v>837</v>
      </c>
      <c r="L53" s="3719"/>
      <c r="O53" s="1418" t="s">
        <v>409</v>
      </c>
      <c r="P53" s="1419" t="s">
        <v>838</v>
      </c>
      <c r="Q53" s="1420">
        <f ca="1">Q47+Q48</f>
        <v>5172544</v>
      </c>
      <c r="R53" s="1420" t="s">
        <v>410</v>
      </c>
    </row>
    <row r="54" spans="1:18" s="1384" customFormat="1" ht="13.8" thickBot="1">
      <c r="A54" s="975"/>
      <c r="B54" s="1473" t="s">
        <v>891</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62"/>
      <c r="F55" s="1440"/>
      <c r="I55" s="1443" t="s">
        <v>840</v>
      </c>
      <c r="J55" s="1444">
        <f ca="1">ROUND(IF(J47="钢混",J57/J50,1-(1-2%)*(J50-J57)/J50),3)</f>
        <v>0.185</v>
      </c>
      <c r="K55" s="1445" t="s">
        <v>841</v>
      </c>
      <c r="L55" s="1446" t="s">
        <v>3434</v>
      </c>
      <c r="O55" s="1411" t="s">
        <v>811</v>
      </c>
      <c r="P55" s="1412" t="s">
        <v>812</v>
      </c>
      <c r="Q55" s="1413" t="s">
        <v>813</v>
      </c>
      <c r="R55" s="1413" t="s">
        <v>814</v>
      </c>
    </row>
    <row r="56" spans="1:18" s="1384" customFormat="1" ht="36" customHeight="1" thickTop="1" thickBot="1">
      <c r="A56" s="957">
        <v>2</v>
      </c>
      <c r="B56" s="958" t="s">
        <v>704</v>
      </c>
      <c r="C56" s="232">
        <f ca="1">C13</f>
        <v>4322931</v>
      </c>
      <c r="D56" s="1447"/>
      <c r="E56" s="1448"/>
      <c r="F56" s="1440"/>
      <c r="I56" s="1449" t="s">
        <v>842</v>
      </c>
      <c r="J56" s="1450" t="s">
        <v>3432</v>
      </c>
      <c r="K56" s="1421" t="s">
        <v>843</v>
      </c>
      <c r="L56" s="1424" t="str">
        <f ca="1">IF(L48&lt;J51,"——",L48-J51)</f>
        <v>——</v>
      </c>
      <c r="O56" s="1418" t="s">
        <v>403</v>
      </c>
      <c r="P56" s="1419" t="s">
        <v>817</v>
      </c>
      <c r="Q56" s="1420">
        <f ca="1">C40+J29</f>
        <v>4702712</v>
      </c>
      <c r="R56" s="1420" t="s">
        <v>818</v>
      </c>
    </row>
    <row r="57" spans="1:18" s="1384" customFormat="1" ht="24.6" thickBot="1">
      <c r="A57" s="1451"/>
      <c r="B57" s="950" t="s">
        <v>767</v>
      </c>
      <c r="C57" s="238">
        <f ca="1">C29</f>
        <v>5239916</v>
      </c>
      <c r="D57" s="1452"/>
      <c r="E57" s="1453"/>
      <c r="F57" s="1454"/>
      <c r="I57" s="1455" t="s">
        <v>844</v>
      </c>
      <c r="J57" s="1456">
        <f ca="1">IF(OR(M47="住宅",J51&lt;L48,J56="是"),"——",J51-L48)</f>
        <v>11.07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61360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2477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2095966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469832</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2477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4702712</v>
      </c>
      <c r="R62" s="1420" t="s">
        <v>410</v>
      </c>
    </row>
    <row r="63" spans="1:18" s="1384" customFormat="1" ht="13.8" thickBot="1">
      <c r="A63" s="326"/>
      <c r="B63" s="956"/>
      <c r="C63" s="26"/>
      <c r="D63" s="966"/>
      <c r="E63" s="950" t="s">
        <v>788</v>
      </c>
      <c r="F63" s="303">
        <f t="shared" ca="1" si="0"/>
        <v>1651.11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52399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6484</v>
      </c>
      <c r="D65" s="964" t="s">
        <v>743</v>
      </c>
      <c r="E65" s="950" t="s">
        <v>744</v>
      </c>
      <c r="F65" s="330">
        <f t="shared" ca="1" si="0"/>
        <v>1.5E-3</v>
      </c>
      <c r="I65" s="1462" t="s">
        <v>867</v>
      </c>
      <c r="J65" s="1463">
        <v>40</v>
      </c>
      <c r="K65" s="1463">
        <v>30</v>
      </c>
      <c r="L65" s="1463">
        <v>50</v>
      </c>
      <c r="M65" s="1465">
        <v>0.02</v>
      </c>
      <c r="O65" s="1418" t="s">
        <v>403</v>
      </c>
      <c r="P65" s="1419" t="s">
        <v>868</v>
      </c>
      <c r="Q65" s="1420">
        <f ca="1">C40+J29</f>
        <v>4702712</v>
      </c>
      <c r="R65" s="1420" t="s">
        <v>818</v>
      </c>
    </row>
    <row r="66" spans="1:18" s="1384" customFormat="1" ht="16.2"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24.6" thickBot="1">
      <c r="A67" s="957" t="s">
        <v>394</v>
      </c>
      <c r="B67" s="967" t="s">
        <v>752</v>
      </c>
      <c r="C67" s="316">
        <f ca="1">C48-C58</f>
        <v>-61360</v>
      </c>
      <c r="D67" s="963" t="s">
        <v>753</v>
      </c>
      <c r="E67" s="968"/>
      <c r="F67" s="969"/>
      <c r="O67" s="1428" t="s">
        <v>405</v>
      </c>
      <c r="P67" s="1419" t="s">
        <v>850</v>
      </c>
      <c r="Q67" s="1466">
        <f ca="1">L51</f>
        <v>1080795</v>
      </c>
      <c r="R67" s="1420" t="s">
        <v>870</v>
      </c>
    </row>
    <row r="68" spans="1:18" s="1384" customFormat="1" ht="16.2" thickBot="1">
      <c r="A68" s="947" t="s">
        <v>395</v>
      </c>
      <c r="B68" s="948" t="s">
        <v>774</v>
      </c>
      <c r="C68" s="301">
        <f ca="1">ROUND(C67*(1-((1+F70)/(1+F68))^F69)/(F68-F70),0)</f>
        <v>-1021039</v>
      </c>
      <c r="D68" s="965" t="s">
        <v>758</v>
      </c>
      <c r="E68" s="950" t="s">
        <v>759</v>
      </c>
      <c r="F68" s="312">
        <f ca="1">F40</f>
        <v>0.04</v>
      </c>
      <c r="O68" s="1428" t="s">
        <v>406</v>
      </c>
      <c r="P68" s="1467" t="s">
        <v>871</v>
      </c>
      <c r="Q68" s="1420">
        <f ca="1">ROUND(Q69-Q70*Q71,0)</f>
        <v>51216</v>
      </c>
      <c r="R68" s="1420" t="s">
        <v>414</v>
      </c>
    </row>
    <row r="69" spans="1:18" s="1384" customFormat="1" ht="13.8" thickBot="1">
      <c r="A69" s="951"/>
      <c r="B69" s="952"/>
      <c r="C69" s="306"/>
      <c r="D69" s="970" t="s">
        <v>762</v>
      </c>
      <c r="E69" s="950" t="s">
        <v>763</v>
      </c>
      <c r="F69" s="333">
        <f ca="1">F41</f>
        <v>27.93</v>
      </c>
      <c r="O69" s="1428" t="s">
        <v>411</v>
      </c>
      <c r="P69" s="1467" t="s">
        <v>872</v>
      </c>
      <c r="Q69" s="1420">
        <f ca="1">C39</f>
        <v>267363</v>
      </c>
      <c r="R69" s="1420" t="s">
        <v>818</v>
      </c>
    </row>
    <row r="70" spans="1:18" s="1384" customFormat="1" ht="13.8" thickBot="1">
      <c r="A70" s="954"/>
      <c r="B70" s="955"/>
      <c r="C70" s="310"/>
      <c r="D70" s="966"/>
      <c r="E70" s="950" t="s">
        <v>766</v>
      </c>
      <c r="F70" s="1054"/>
      <c r="O70" s="1428" t="s">
        <v>412</v>
      </c>
      <c r="P70" s="1467" t="s">
        <v>873</v>
      </c>
      <c r="Q70" s="1420">
        <f ca="1">C13</f>
        <v>4322931</v>
      </c>
      <c r="R70" s="1420" t="s">
        <v>818</v>
      </c>
    </row>
    <row r="71" spans="1:18" s="1384" customFormat="1" ht="13.8" thickBot="1">
      <c r="A71" s="971" t="s">
        <v>396</v>
      </c>
      <c r="B71" s="972" t="s">
        <v>776</v>
      </c>
      <c r="C71" s="336">
        <f ca="1">ROUND(C68/F71,0)</f>
        <v>-836</v>
      </c>
      <c r="D71" s="973" t="s">
        <v>777</v>
      </c>
      <c r="E71" s="974" t="s">
        <v>778</v>
      </c>
      <c r="F71" s="339">
        <f ca="1">F43</f>
        <v>1220.99</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216147</v>
      </c>
      <c r="D75" s="1384"/>
      <c r="E75" s="1384"/>
      <c r="F75" s="1384"/>
      <c r="K75" s="1402"/>
      <c r="L75" s="1384"/>
      <c r="O75" s="1418" t="s">
        <v>409</v>
      </c>
      <c r="P75" s="1419" t="s">
        <v>838</v>
      </c>
      <c r="Q75" s="1420">
        <f ca="1">Q65+Q66</f>
        <v>4702712</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0.19199999999999995</v>
      </c>
    </row>
    <row r="80" spans="1:18">
      <c r="B80" s="340" t="s">
        <v>800</v>
      </c>
      <c r="C80" s="274">
        <f ca="1">ROUND(C75/C39,3)</f>
        <v>0.80800000000000005</v>
      </c>
    </row>
    <row r="81" spans="2:3">
      <c r="B81" s="270" t="s">
        <v>801</v>
      </c>
      <c r="C81" s="238"/>
    </row>
    <row r="82" spans="2:3">
      <c r="B82" s="273" t="s">
        <v>802</v>
      </c>
      <c r="C82" s="275">
        <f ca="1">1-C83</f>
        <v>8.0999999999999961E-2</v>
      </c>
    </row>
    <row r="83" spans="2:3">
      <c r="B83" s="273" t="s">
        <v>803</v>
      </c>
      <c r="C83" s="274">
        <f ca="1">ROUND(C13/C40,3)</f>
        <v>0.91900000000000004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58" sqref="I5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3413</v>
      </c>
      <c r="D1" s="1362" t="s">
        <v>43</v>
      </c>
      <c r="E1" s="1363" t="s">
        <v>678</v>
      </c>
      <c r="F1" s="1062">
        <f ca="1">J53</f>
        <v>27.93</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259.625</v>
      </c>
      <c r="C2" s="1387" t="s">
        <v>879</v>
      </c>
      <c r="D2" s="1471">
        <f ca="1">C40+J29+L46</f>
        <v>2596250</v>
      </c>
      <c r="E2" s="1388" t="s">
        <v>880</v>
      </c>
      <c r="F2" s="1389"/>
      <c r="G2" s="2706"/>
      <c r="H2" s="2695"/>
      <c r="I2" s="2695"/>
      <c r="J2" s="2695"/>
      <c r="K2" s="2696"/>
      <c r="L2" s="2695"/>
      <c r="M2" s="2695"/>
    </row>
    <row r="3" spans="1:37" ht="18" customHeight="1" thickBot="1">
      <c r="A3" s="1390" t="s">
        <v>881</v>
      </c>
      <c r="B3" s="1391">
        <f ca="1">IF(ISERROR(D2/F43),0,ROUND(D2/F43,0))</f>
        <v>2087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204541</v>
      </c>
      <c r="D5" s="1364" t="s">
        <v>889</v>
      </c>
      <c r="E5" s="1071"/>
      <c r="F5" s="1072"/>
      <c r="G5" s="1384"/>
      <c r="H5" s="299">
        <v>1</v>
      </c>
      <c r="I5" s="300" t="s">
        <v>888</v>
      </c>
      <c r="J5" s="1070">
        <f ca="1">J6+J10+J12</f>
        <v>0</v>
      </c>
      <c r="K5" s="1364" t="s">
        <v>889</v>
      </c>
      <c r="L5" s="1071"/>
      <c r="M5" s="1072"/>
    </row>
    <row r="6" spans="1:37" ht="18" customHeight="1">
      <c r="A6" s="1069" t="s">
        <v>398</v>
      </c>
      <c r="B6" s="3720" t="s">
        <v>694</v>
      </c>
      <c r="C6" s="1074">
        <f ca="1">ROUND(F6*F8*F7*(1-F9),0)</f>
        <v>204286</v>
      </c>
      <c r="D6" s="155" t="s">
        <v>2106</v>
      </c>
      <c r="E6" s="302" t="s">
        <v>696</v>
      </c>
      <c r="F6" s="303">
        <f ca="1">INDIRECT("'数据-取费表'!u"&amp;$G$1)</f>
        <v>0.5</v>
      </c>
      <c r="G6" s="1384"/>
      <c r="H6" s="1069" t="s">
        <v>398</v>
      </c>
      <c r="I6" s="3720" t="s">
        <v>694</v>
      </c>
      <c r="J6" s="301">
        <f ca="1">ROUND(M6*M8*M7*(1-M9),0)</f>
        <v>0</v>
      </c>
      <c r="K6" s="1376" t="s">
        <v>2107</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1243.75</v>
      </c>
      <c r="G7" s="1384"/>
      <c r="H7" s="304"/>
      <c r="I7" s="3721"/>
      <c r="J7" s="306"/>
      <c r="K7" s="307"/>
      <c r="L7" s="302" t="s">
        <v>697</v>
      </c>
      <c r="M7" s="303">
        <f ca="1">F7</f>
        <v>1243.75</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255</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2172015</v>
      </c>
      <c r="D13" s="1081" t="s">
        <v>705</v>
      </c>
      <c r="E13" s="1081" t="s">
        <v>706</v>
      </c>
      <c r="F13" s="1082">
        <f ca="1">INDIRECT("'数据-取费表'!y"&amp;$G$1)</f>
        <v>0.75839999999999996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1865625</v>
      </c>
      <c r="D14" s="1345" t="s">
        <v>708</v>
      </c>
      <c r="E14" s="1342"/>
      <c r="F14" s="319"/>
      <c r="G14" s="1384"/>
      <c r="H14" s="982" t="s">
        <v>398</v>
      </c>
      <c r="I14" s="302" t="s">
        <v>709</v>
      </c>
      <c r="J14" s="21">
        <f ca="1">C29</f>
        <v>2863944</v>
      </c>
      <c r="K14" s="12"/>
      <c r="L14" s="807"/>
      <c r="M14" s="808"/>
    </row>
    <row r="15" spans="1:37" s="1397" customFormat="1" ht="18" customHeight="1" thickBot="1">
      <c r="A15" s="982" t="s">
        <v>399</v>
      </c>
      <c r="B15" s="302" t="s">
        <v>710</v>
      </c>
      <c r="C15" s="21">
        <f ca="1">ROUND(C14*F15,0)</f>
        <v>186563</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31162</v>
      </c>
      <c r="K16" s="1087" t="s">
        <v>715</v>
      </c>
      <c r="L16" s="1088"/>
      <c r="M16" s="1072"/>
    </row>
    <row r="17" spans="1:37" s="1397" customFormat="1" ht="18" customHeight="1">
      <c r="A17" s="982" t="s">
        <v>681</v>
      </c>
      <c r="B17" s="302" t="s">
        <v>716</v>
      </c>
      <c r="C17" s="21">
        <f ca="1">ROUND(F17*(F43+INDIRECT("'数据-取费表'!S"&amp;$G$1)),0)</f>
        <v>248750</v>
      </c>
      <c r="D17" s="302" t="s">
        <v>717</v>
      </c>
      <c r="E17" s="302" t="s">
        <v>718</v>
      </c>
      <c r="F17" s="23">
        <f>'数据-取费表'!B35</f>
        <v>200</v>
      </c>
      <c r="G17" s="1396"/>
      <c r="H17" s="982" t="s">
        <v>398</v>
      </c>
      <c r="I17" s="302" t="s">
        <v>719</v>
      </c>
      <c r="J17" s="2316">
        <f ca="1">ROUND(IF(AND(项目基本情况!B11="自然人",项目基本情况!B10="北京市"),J6*M17/(1+'数据-取费表'!C42),J18+J19+J20),0)</f>
        <v>2523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55969</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2356907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47138</v>
      </c>
      <c r="D20" s="323" t="s">
        <v>729</v>
      </c>
      <c r="E20" s="302" t="s">
        <v>712</v>
      </c>
      <c r="F20" s="322">
        <f>'数据-取费表'!B37</f>
        <v>0.02</v>
      </c>
      <c r="G20" s="1396"/>
      <c r="H20" s="982" t="s">
        <v>680</v>
      </c>
      <c r="I20" s="155" t="s">
        <v>730</v>
      </c>
      <c r="J20" s="22">
        <f ca="1">ROUND(M20*M21,0)</f>
        <v>2523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1681.89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28639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36978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-31162</v>
      </c>
      <c r="K25" s="1095" t="s">
        <v>753</v>
      </c>
      <c r="L25" s="1096"/>
      <c r="M25" s="1097"/>
    </row>
    <row r="26" spans="1:37" ht="18" customHeight="1">
      <c r="A26" s="982" t="s">
        <v>397</v>
      </c>
      <c r="B26" s="302" t="s">
        <v>754</v>
      </c>
      <c r="C26" s="21">
        <f ca="1">ROUND((C19+C20)*F26,0)</f>
        <v>120202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2863944</v>
      </c>
      <c r="D29" s="1092"/>
      <c r="E29" s="1090"/>
      <c r="F29" s="1093"/>
      <c r="G29" s="1396"/>
      <c r="H29" s="334" t="s">
        <v>396</v>
      </c>
      <c r="I29" s="335" t="s">
        <v>768</v>
      </c>
      <c r="J29" s="336">
        <f ca="1">ROUND(J26/(1+F40)^F41,0)</f>
        <v>0</v>
      </c>
      <c r="K29" s="337" t="s">
        <v>769</v>
      </c>
      <c r="L29" s="338"/>
      <c r="M29" s="339">
        <f ca="1">INDIRECT("'数据-取费表'!k"&amp;$G$1)</f>
        <v>1243.75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71536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36571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10701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23347</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2523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1681.89</v>
      </c>
      <c r="G35" s="1384"/>
      <c r="H35" s="2697"/>
      <c r="I35" s="1398"/>
      <c r="J35" s="1399"/>
      <c r="K35" s="2701"/>
      <c r="L35" s="2700"/>
      <c r="M35" s="2700"/>
    </row>
    <row r="36" spans="1:18" ht="18" customHeight="1">
      <c r="A36" s="1102" t="s">
        <v>402</v>
      </c>
      <c r="B36" s="302" t="s">
        <v>738</v>
      </c>
      <c r="C36" s="21">
        <f ca="1">ROUND(C29*F36,0)</f>
        <v>28639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3258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3068</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133005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2339457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1881</v>
      </c>
      <c r="D43" s="337" t="s">
        <v>777</v>
      </c>
      <c r="E43" s="338" t="s">
        <v>778</v>
      </c>
      <c r="F43" s="339">
        <f ca="1">INDIRECT("'数据-取费表'!k"&amp;$G$1)</f>
        <v>1243.75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-291.22109999999998</v>
      </c>
      <c r="D45" s="3432" t="s">
        <v>3352</v>
      </c>
      <c r="E45" s="1400"/>
      <c r="F45" s="1400"/>
      <c r="O45" s="1403" t="s">
        <v>808</v>
      </c>
      <c r="P45" s="1461"/>
      <c r="Q45" s="1461"/>
      <c r="R45" s="1461"/>
    </row>
    <row r="46" spans="1:18" s="1384" customFormat="1" ht="13.8" thickBot="1">
      <c r="A46" s="1404" t="s">
        <v>809</v>
      </c>
      <c r="C46" s="1405">
        <f ca="1">ROUND(C45,0)</f>
        <v>-291</v>
      </c>
      <c r="D46" s="1406" t="str">
        <f>C2</f>
        <v>万元</v>
      </c>
      <c r="I46" s="1407" t="s">
        <v>810</v>
      </c>
      <c r="J46" s="1408"/>
      <c r="K46" s="1409"/>
      <c r="L46" s="1410">
        <f ca="1">IF(M47="住宅",0,IF(L48&gt;J51,L60,J60))</f>
        <v>256793</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3433</v>
      </c>
      <c r="K47" s="1416" t="s">
        <v>816</v>
      </c>
      <c r="L47" s="1417">
        <f ca="1">INDIRECT("'数据-取费表'!d"&amp;$G$1)</f>
        <v>50</v>
      </c>
      <c r="M47" s="1380" t="str">
        <f>IF(ISNUMBER(FIND("住宅",C1)),"住宅","非住宅")</f>
        <v>非住宅</v>
      </c>
      <c r="O47" s="1418" t="s">
        <v>403</v>
      </c>
      <c r="P47" s="1419" t="s">
        <v>817</v>
      </c>
      <c r="Q47" s="1420">
        <f ca="1">C40+J29</f>
        <v>2339457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3473</v>
      </c>
      <c r="K48" s="1423" t="s">
        <v>820</v>
      </c>
      <c r="L48" s="1424">
        <f ca="1">INDIRECT("'数据-取费表'!f"&amp;$G$1)</f>
        <v>27.93</v>
      </c>
      <c r="O48" s="1418" t="s">
        <v>404</v>
      </c>
      <c r="P48" s="1419" t="s">
        <v>821</v>
      </c>
      <c r="Q48" s="1420">
        <f ca="1">J60</f>
        <v>256793</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2863944</v>
      </c>
      <c r="R49" s="1420" t="s">
        <v>818</v>
      </c>
    </row>
    <row r="50" spans="1:18" s="1384" customFormat="1" ht="13.8" thickBot="1">
      <c r="A50" s="976"/>
      <c r="B50" s="979"/>
      <c r="C50" s="980"/>
      <c r="D50" s="953"/>
      <c r="E50" s="1056" t="s">
        <v>697</v>
      </c>
      <c r="F50" s="1057">
        <f ca="1">F7</f>
        <v>1243.75</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543795</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27.93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718" t="s">
        <v>837</v>
      </c>
      <c r="L53" s="3719"/>
      <c r="O53" s="1418" t="s">
        <v>409</v>
      </c>
      <c r="P53" s="1419" t="s">
        <v>838</v>
      </c>
      <c r="Q53" s="1420">
        <f ca="1">Q47+Q48</f>
        <v>2596250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0.245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2172015</v>
      </c>
      <c r="D56" s="1447"/>
      <c r="E56" s="1448"/>
      <c r="F56" s="1440"/>
      <c r="I56" s="1449" t="s">
        <v>842</v>
      </c>
      <c r="J56" s="1450" t="s">
        <v>3432</v>
      </c>
      <c r="K56" s="1421" t="s">
        <v>843</v>
      </c>
      <c r="L56" s="1424" t="str">
        <f ca="1">IF(L48&lt;J51,"——",L48-J51)</f>
        <v>——</v>
      </c>
      <c r="O56" s="1418" t="s">
        <v>403</v>
      </c>
      <c r="P56" s="1419" t="s">
        <v>817</v>
      </c>
      <c r="Q56" s="1420">
        <f ca="1">C40+J29</f>
        <v>2339457</v>
      </c>
      <c r="R56" s="1420" t="s">
        <v>818</v>
      </c>
    </row>
    <row r="57" spans="1:18" s="1384" customFormat="1" ht="24.6" thickBot="1">
      <c r="A57" s="1451"/>
      <c r="B57" s="950" t="s">
        <v>767</v>
      </c>
      <c r="C57" s="238">
        <f ca="1">C29</f>
        <v>2863944</v>
      </c>
      <c r="D57" s="1452"/>
      <c r="E57" s="1453"/>
      <c r="F57" s="1454"/>
      <c r="I57" s="1455" t="s">
        <v>844</v>
      </c>
      <c r="J57" s="1456">
        <f ca="1">IF(OR(M47="住宅",J51&lt;L48,J56="是"),"——",J51-L48)</f>
        <v>16.07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34420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2523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1145578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256793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2523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2339457</v>
      </c>
      <c r="R62" s="1420" t="s">
        <v>410</v>
      </c>
    </row>
    <row r="63" spans="1:18" s="1384" customFormat="1" ht="13.8" thickBot="1">
      <c r="A63" s="326"/>
      <c r="B63" s="956"/>
      <c r="C63" s="26"/>
      <c r="D63" s="966"/>
      <c r="E63" s="950" t="s">
        <v>788</v>
      </c>
      <c r="F63" s="303">
        <f t="shared" ca="1" si="0"/>
        <v>1681.89</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28639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3258</v>
      </c>
      <c r="D65" s="964" t="s">
        <v>743</v>
      </c>
      <c r="E65" s="950" t="s">
        <v>744</v>
      </c>
      <c r="F65" s="330">
        <f t="shared" ca="1" si="0"/>
        <v>1.5E-3</v>
      </c>
      <c r="I65" s="1462" t="s">
        <v>867</v>
      </c>
      <c r="J65" s="1463">
        <v>40</v>
      </c>
      <c r="K65" s="1463">
        <v>30</v>
      </c>
      <c r="L65" s="1463">
        <v>50</v>
      </c>
      <c r="M65" s="1465">
        <v>0.02</v>
      </c>
      <c r="O65" s="1418" t="s">
        <v>403</v>
      </c>
      <c r="P65" s="1419" t="s">
        <v>868</v>
      </c>
      <c r="Q65" s="1420">
        <f ca="1">C40+J29</f>
        <v>2339457</v>
      </c>
      <c r="R65" s="1420" t="s">
        <v>818</v>
      </c>
    </row>
    <row r="66" spans="1:18" s="1384" customFormat="1" ht="16.2"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24.6" thickBot="1">
      <c r="A67" s="957" t="s">
        <v>394</v>
      </c>
      <c r="B67" s="967" t="s">
        <v>752</v>
      </c>
      <c r="C67" s="316">
        <f ca="1">C48-C58</f>
        <v>-34420</v>
      </c>
      <c r="D67" s="963" t="s">
        <v>753</v>
      </c>
      <c r="E67" s="968"/>
      <c r="F67" s="969"/>
      <c r="O67" s="1428" t="s">
        <v>405</v>
      </c>
      <c r="P67" s="1419" t="s">
        <v>850</v>
      </c>
      <c r="Q67" s="1466">
        <f ca="1">L51</f>
        <v>543795</v>
      </c>
      <c r="R67" s="1420" t="s">
        <v>870</v>
      </c>
    </row>
    <row r="68" spans="1:18" s="1384" customFormat="1" ht="16.2" thickBot="1">
      <c r="A68" s="947" t="s">
        <v>395</v>
      </c>
      <c r="B68" s="948" t="s">
        <v>774</v>
      </c>
      <c r="C68" s="301">
        <f ca="1">ROUND(C67*(1-((1+F70)/(1+F68))^F69)/(F68-F70),0)</f>
        <v>-572754</v>
      </c>
      <c r="D68" s="965" t="s">
        <v>758</v>
      </c>
      <c r="E68" s="950" t="s">
        <v>759</v>
      </c>
      <c r="F68" s="312">
        <f ca="1">F40</f>
        <v>0.04</v>
      </c>
      <c r="O68" s="1428" t="s">
        <v>406</v>
      </c>
      <c r="P68" s="1467" t="s">
        <v>871</v>
      </c>
      <c r="Q68" s="1420">
        <f ca="1">ROUND(Q69-Q70*Q71,0)</f>
        <v>24404</v>
      </c>
      <c r="R68" s="1420" t="s">
        <v>414</v>
      </c>
    </row>
    <row r="69" spans="1:18" s="1384" customFormat="1" ht="13.8" thickBot="1">
      <c r="A69" s="951"/>
      <c r="B69" s="952"/>
      <c r="C69" s="306"/>
      <c r="D69" s="970" t="s">
        <v>762</v>
      </c>
      <c r="E69" s="950" t="s">
        <v>763</v>
      </c>
      <c r="F69" s="333">
        <f ca="1">F41</f>
        <v>27.93</v>
      </c>
      <c r="O69" s="1428" t="s">
        <v>411</v>
      </c>
      <c r="P69" s="1467" t="s">
        <v>872</v>
      </c>
      <c r="Q69" s="1420">
        <f ca="1">C39</f>
        <v>133005</v>
      </c>
      <c r="R69" s="1420" t="s">
        <v>818</v>
      </c>
    </row>
    <row r="70" spans="1:18" s="1384" customFormat="1" ht="13.8" thickBot="1">
      <c r="A70" s="954"/>
      <c r="B70" s="955"/>
      <c r="C70" s="310"/>
      <c r="D70" s="966"/>
      <c r="E70" s="950" t="s">
        <v>766</v>
      </c>
      <c r="F70" s="1054"/>
      <c r="O70" s="1428" t="s">
        <v>412</v>
      </c>
      <c r="P70" s="1467" t="s">
        <v>873</v>
      </c>
      <c r="Q70" s="1420">
        <f ca="1">C13</f>
        <v>2172015</v>
      </c>
      <c r="R70" s="1420" t="s">
        <v>818</v>
      </c>
    </row>
    <row r="71" spans="1:18" s="1384" customFormat="1" ht="13.8" thickBot="1">
      <c r="A71" s="971" t="s">
        <v>396</v>
      </c>
      <c r="B71" s="972" t="s">
        <v>776</v>
      </c>
      <c r="C71" s="336">
        <f ca="1">ROUND(C68/F71,0)</f>
        <v>-461</v>
      </c>
      <c r="D71" s="973" t="s">
        <v>777</v>
      </c>
      <c r="E71" s="974" t="s">
        <v>778</v>
      </c>
      <c r="F71" s="339">
        <f ca="1">F43</f>
        <v>1243.75</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108601</v>
      </c>
      <c r="D75" s="1384"/>
      <c r="E75" s="1384"/>
      <c r="F75" s="1384"/>
      <c r="K75" s="1402"/>
      <c r="L75" s="1384"/>
      <c r="O75" s="1418" t="s">
        <v>409</v>
      </c>
      <c r="P75" s="1419" t="s">
        <v>838</v>
      </c>
      <c r="Q75" s="1420">
        <f ca="1">Q65+Q66</f>
        <v>2339457</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0.18300000000000005</v>
      </c>
    </row>
    <row r="80" spans="1:18">
      <c r="B80" s="340" t="s">
        <v>800</v>
      </c>
      <c r="C80" s="274">
        <f ca="1">ROUND(C75/C39,3)</f>
        <v>0.81699999999999995</v>
      </c>
    </row>
    <row r="81" spans="2:3">
      <c r="B81" s="270" t="s">
        <v>801</v>
      </c>
      <c r="C81" s="238"/>
    </row>
    <row r="82" spans="2:3">
      <c r="B82" s="273" t="s">
        <v>802</v>
      </c>
      <c r="C82" s="275">
        <f ca="1">1-C83</f>
        <v>7.1999999999999953E-2</v>
      </c>
    </row>
    <row r="83" spans="2:3">
      <c r="B83" s="273" t="s">
        <v>803</v>
      </c>
      <c r="C83" s="274">
        <f ca="1">ROUND(C13/C40,3)</f>
        <v>0.92800000000000005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723" t="s">
        <v>2316</v>
      </c>
      <c r="K2" s="3724"/>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725" t="s">
        <v>2326</v>
      </c>
      <c r="K3" s="3726"/>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725" t="s">
        <v>2328</v>
      </c>
      <c r="K4" s="3726"/>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727" t="s">
        <v>2332</v>
      </c>
      <c r="B6" s="3728"/>
      <c r="C6" s="3729"/>
      <c r="D6" s="2870"/>
      <c r="E6" s="2871"/>
      <c r="F6" s="2872"/>
      <c r="G6" s="2873"/>
      <c r="H6" s="2848"/>
      <c r="I6" s="2849"/>
      <c r="J6" s="3730">
        <v>1</v>
      </c>
      <c r="K6" s="3731"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730"/>
      <c r="K7" s="3732"/>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734" t="s">
        <v>2346</v>
      </c>
      <c r="C8" s="3735"/>
      <c r="D8" s="2889" t="s">
        <v>2347</v>
      </c>
      <c r="E8" s="2890" t="s">
        <v>2348</v>
      </c>
      <c r="F8" s="2891" t="s">
        <v>2349</v>
      </c>
      <c r="G8" s="2892"/>
      <c r="H8" s="2848"/>
      <c r="I8" s="2849"/>
      <c r="J8" s="3730"/>
      <c r="K8" s="3732"/>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734" t="s">
        <v>2352</v>
      </c>
      <c r="C9" s="3735"/>
      <c r="D9" s="2889">
        <f>ROUND(D6*E9,0)</f>
        <v>0</v>
      </c>
      <c r="E9" s="2893"/>
      <c r="F9" s="2894" t="s">
        <v>2353</v>
      </c>
      <c r="G9" s="2873"/>
      <c r="H9" s="2848"/>
      <c r="I9" s="2849"/>
      <c r="J9" s="3730"/>
      <c r="K9" s="3732"/>
      <c r="L9" s="2883" t="s">
        <v>2354</v>
      </c>
      <c r="M9" s="2884"/>
      <c r="N9" s="2860"/>
      <c r="O9" s="2885"/>
      <c r="P9" s="2885"/>
      <c r="Q9" s="2886">
        <v>365</v>
      </c>
      <c r="R9" s="2887">
        <f t="shared" si="0"/>
        <v>0</v>
      </c>
      <c r="S9" s="2841"/>
      <c r="T9" s="2841"/>
      <c r="U9" s="2841"/>
      <c r="V9" s="2849"/>
    </row>
    <row r="10" spans="1:22" s="2853" customFormat="1" ht="13.2" customHeight="1">
      <c r="A10" s="2888">
        <v>2</v>
      </c>
      <c r="B10" s="3734" t="s">
        <v>2355</v>
      </c>
      <c r="C10" s="3735"/>
      <c r="D10" s="2889">
        <f>ROUND(D6*E10,0)</f>
        <v>0</v>
      </c>
      <c r="E10" s="2893"/>
      <c r="F10" s="2894" t="s">
        <v>2356</v>
      </c>
      <c r="G10" s="2873"/>
      <c r="H10" s="2848"/>
      <c r="I10" s="2849"/>
      <c r="J10" s="3730"/>
      <c r="K10" s="3732"/>
      <c r="L10" s="2883" t="s">
        <v>2357</v>
      </c>
      <c r="M10" s="2884"/>
      <c r="N10" s="2860"/>
      <c r="O10" s="2885"/>
      <c r="P10" s="2885"/>
      <c r="Q10" s="2886">
        <v>365</v>
      </c>
      <c r="R10" s="2887">
        <f t="shared" si="0"/>
        <v>0</v>
      </c>
      <c r="S10" s="2841"/>
      <c r="T10" s="2841"/>
      <c r="U10" s="2841"/>
      <c r="V10" s="2849"/>
    </row>
    <row r="11" spans="1:22" s="2853" customFormat="1" ht="13.2" customHeight="1">
      <c r="A11" s="2888">
        <v>3</v>
      </c>
      <c r="B11" s="3734" t="s">
        <v>2358</v>
      </c>
      <c r="C11" s="3735"/>
      <c r="D11" s="2889">
        <f>D12+D14+D15+D16</f>
        <v>0</v>
      </c>
      <c r="E11" s="2895" t="e">
        <f>D11/D6</f>
        <v>#DIV/0!</v>
      </c>
      <c r="F11" s="2891"/>
      <c r="G11" s="2892"/>
      <c r="H11" s="2848"/>
      <c r="I11" s="2849"/>
      <c r="J11" s="3730"/>
      <c r="K11" s="3732"/>
      <c r="L11" s="2883" t="s">
        <v>2359</v>
      </c>
      <c r="M11" s="2884"/>
      <c r="N11" s="2860"/>
      <c r="O11" s="2885"/>
      <c r="P11" s="2885"/>
      <c r="Q11" s="2886">
        <v>365</v>
      </c>
      <c r="R11" s="2887">
        <f t="shared" si="0"/>
        <v>0</v>
      </c>
      <c r="S11" s="2841"/>
      <c r="T11" s="2841"/>
      <c r="U11" s="2841"/>
      <c r="V11" s="2849"/>
    </row>
    <row r="12" spans="1:22" s="2853" customFormat="1" ht="13.2" customHeight="1">
      <c r="A12" s="2896" t="s">
        <v>2360</v>
      </c>
      <c r="B12" s="3736" t="s">
        <v>2361</v>
      </c>
      <c r="C12" s="3737"/>
      <c r="D12" s="2897">
        <f>ROUND(D13*1.2%*(1-30%),0)</f>
        <v>0</v>
      </c>
      <c r="E12" s="2898">
        <v>1.2E-2</v>
      </c>
      <c r="F12" s="2891" t="s">
        <v>2362</v>
      </c>
      <c r="G12" s="2892"/>
      <c r="H12" s="2848"/>
      <c r="I12" s="2849"/>
      <c r="J12" s="3730"/>
      <c r="K12" s="3732"/>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730"/>
      <c r="K13" s="3732"/>
      <c r="L13" s="2883" t="s">
        <v>2365</v>
      </c>
      <c r="M13" s="2884"/>
      <c r="N13" s="2860"/>
      <c r="O13" s="2885"/>
      <c r="P13" s="2885"/>
      <c r="Q13" s="2886">
        <v>365</v>
      </c>
      <c r="R13" s="2887">
        <f t="shared" si="0"/>
        <v>0</v>
      </c>
      <c r="S13" s="2841"/>
      <c r="T13" s="2841"/>
      <c r="U13" s="2841"/>
      <c r="V13" s="2849"/>
    </row>
    <row r="14" spans="1:22" s="2853" customFormat="1" ht="13.2" customHeight="1">
      <c r="A14" s="2896" t="s">
        <v>2366</v>
      </c>
      <c r="B14" s="3736" t="s">
        <v>2367</v>
      </c>
      <c r="C14" s="3737"/>
      <c r="D14" s="2897">
        <f>ROUND(E14*B5/10000,0)</f>
        <v>0</v>
      </c>
      <c r="E14" s="2886"/>
      <c r="F14" s="2891" t="s">
        <v>2368</v>
      </c>
      <c r="G14" s="2892"/>
      <c r="H14" s="2848"/>
      <c r="I14" s="2849"/>
      <c r="J14" s="3730"/>
      <c r="K14" s="3733"/>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736" t="s">
        <v>2371</v>
      </c>
      <c r="C15" s="3737"/>
      <c r="D15" s="2897">
        <f>ROUND(D6*E15,0)</f>
        <v>0</v>
      </c>
      <c r="E15" s="2898">
        <v>5.5E-2</v>
      </c>
      <c r="F15" s="2891" t="s">
        <v>2372</v>
      </c>
      <c r="G15" s="2873"/>
      <c r="H15" s="2848"/>
      <c r="I15" s="2849"/>
      <c r="J15" s="3730">
        <v>2</v>
      </c>
      <c r="K15" s="3731"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736" t="s">
        <v>2380</v>
      </c>
      <c r="C16" s="3737"/>
      <c r="D16" s="2908">
        <f>D6*E16</f>
        <v>0</v>
      </c>
      <c r="E16" s="2909"/>
      <c r="F16" s="2894" t="s">
        <v>2381</v>
      </c>
      <c r="G16" s="2873"/>
      <c r="H16" s="2848"/>
      <c r="I16" s="2849"/>
      <c r="J16" s="3730"/>
      <c r="K16" s="3732"/>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738" t="s">
        <v>2383</v>
      </c>
      <c r="C17" s="3739"/>
      <c r="D17" s="2911">
        <f>ROUND(D6*E17,0)</f>
        <v>0</v>
      </c>
      <c r="E17" s="2912"/>
      <c r="F17" s="2913" t="s">
        <v>2384</v>
      </c>
      <c r="G17" s="2873"/>
      <c r="H17" s="2848"/>
      <c r="I17" s="2849"/>
      <c r="J17" s="3730"/>
      <c r="K17" s="3732"/>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730"/>
      <c r="K18" s="3732"/>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730"/>
      <c r="K19" s="3733"/>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30">
        <v>3</v>
      </c>
      <c r="K20" s="3731"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730"/>
      <c r="K21" s="3732"/>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730"/>
      <c r="K22" s="3732"/>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730"/>
      <c r="K23" s="3732"/>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730"/>
      <c r="K24" s="3733"/>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740">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74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723" t="s">
        <v>2316</v>
      </c>
      <c r="K32" s="3724"/>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725" t="s">
        <v>2326</v>
      </c>
      <c r="K33" s="3726"/>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725" t="s">
        <v>2328</v>
      </c>
      <c r="K34" s="372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730">
        <v>1</v>
      </c>
      <c r="K36" s="3731"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730"/>
      <c r="K37" s="3732"/>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30"/>
      <c r="K38" s="3732"/>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730"/>
      <c r="K39" s="3732"/>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730"/>
      <c r="K40" s="3733"/>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740">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74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估价对象为北京市房地产，为所有。根据《国有土地使用证》[]，估价对象（分摊）出让国有建设用地使用权面积为3333平方米，建筑面积为2464.74平方米。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估价对象为北京市房地产,属开发建设的，该项目尚在开发建设中。根据《国有土地使用证》[]，估价对象（分摊）出让国有建设用地使用权面积为3333平方米，规划建筑面积为2464.74平方米。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2025年1月23日（评估专业人员实地查勘之日）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259.625</v>
      </c>
      <c r="C2" s="1872" t="s">
        <v>1651</v>
      </c>
      <c r="D2" s="1873" t="s">
        <v>1652</v>
      </c>
      <c r="E2" s="2607">
        <f>SUM(E6:E13)</f>
        <v>2464.7399999999998</v>
      </c>
      <c r="F2" s="2707"/>
      <c r="G2" s="1489"/>
      <c r="H2" s="1489"/>
      <c r="I2" s="1489"/>
      <c r="J2" s="1489"/>
      <c r="K2" s="1489"/>
      <c r="L2" s="1489"/>
      <c r="M2" s="1489"/>
      <c r="N2" s="1489"/>
      <c r="O2" s="1489"/>
      <c r="P2" s="1489"/>
      <c r="Q2" s="1489"/>
      <c r="R2" s="1489"/>
      <c r="S2" s="1489"/>
    </row>
    <row r="3" spans="1:22" ht="15.6">
      <c r="A3" s="1870" t="s">
        <v>686</v>
      </c>
      <c r="B3" s="2601">
        <f ca="1">ROUND(B2*10000/E2,0)</f>
        <v>1053</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42" t="s">
        <v>1654</v>
      </c>
      <c r="C5" s="374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收益法-办公楼1</v>
      </c>
      <c r="B6" s="2602" t="e">
        <f ca="1">IF(F6="是",'数据-取费表'!AO6,0)</f>
        <v>#REF!</v>
      </c>
      <c r="C6" s="1872" t="s">
        <v>1651</v>
      </c>
      <c r="D6" s="2709"/>
      <c r="E6" s="2606">
        <f>IF(OR(A6=0,F6="否"),0,'数据-取费表'!K6+'数据-取费表'!S6)</f>
        <v>1220.99</v>
      </c>
      <c r="F6" s="1876" t="s">
        <v>1657</v>
      </c>
      <c r="G6" s="1489"/>
      <c r="H6" s="1489"/>
      <c r="I6" s="1489"/>
      <c r="J6" s="1489"/>
      <c r="K6" s="1489"/>
      <c r="L6" s="1489"/>
      <c r="M6" s="1489"/>
      <c r="N6" s="1489"/>
      <c r="O6" s="1489"/>
      <c r="P6" s="1489"/>
      <c r="Q6" s="1489"/>
      <c r="R6" s="1489"/>
      <c r="S6" s="1489"/>
    </row>
    <row r="7" spans="1:22" ht="14.4">
      <c r="A7" s="2604" t="str">
        <f>'数据-取费表'!AN7</f>
        <v>收益法-仓库5.6</v>
      </c>
      <c r="B7" s="2602">
        <f ca="1">IF(F7="是",'数据-取费表'!AO7,0)</f>
        <v>259.625</v>
      </c>
      <c r="C7" s="1872" t="s">
        <v>1651</v>
      </c>
      <c r="D7" s="2709"/>
      <c r="E7" s="2606">
        <f>IF(OR(A7=0,F7="否"),0,'数据-取费表'!K7+'数据-取费表'!S7)</f>
        <v>1243.75</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2464.7399999999998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62" t="s">
        <v>1667</v>
      </c>
      <c r="D4" s="3763"/>
      <c r="E4" s="3764" t="s">
        <v>1668</v>
      </c>
      <c r="F4" s="3765"/>
      <c r="G4" s="3762" t="s">
        <v>1669</v>
      </c>
      <c r="H4" s="3763"/>
      <c r="I4" s="3762" t="s">
        <v>1670</v>
      </c>
      <c r="J4" s="3763"/>
      <c r="K4" s="1889" t="s">
        <v>1671</v>
      </c>
      <c r="L4" s="2715"/>
      <c r="M4" s="2716"/>
      <c r="N4" s="2716"/>
      <c r="O4" s="2716"/>
      <c r="P4" s="3766" t="s">
        <v>1672</v>
      </c>
      <c r="Q4" s="3767"/>
      <c r="R4" s="3749" t="s">
        <v>1668</v>
      </c>
      <c r="S4" s="3750"/>
      <c r="T4" s="3749" t="s">
        <v>1669</v>
      </c>
      <c r="U4" s="3750"/>
      <c r="V4" s="3774" t="s">
        <v>1670</v>
      </c>
      <c r="W4" s="3774"/>
      <c r="X4" s="1355"/>
      <c r="Y4" s="3749" t="s">
        <v>1672</v>
      </c>
      <c r="Z4" s="3750"/>
      <c r="AA4" s="3744" t="s">
        <v>1668</v>
      </c>
      <c r="AB4" s="3744" t="s">
        <v>1669</v>
      </c>
      <c r="AC4" s="3744" t="s">
        <v>1670</v>
      </c>
    </row>
    <row r="5" spans="1:29">
      <c r="A5" s="358"/>
      <c r="B5" s="359"/>
      <c r="C5" s="3755" t="s">
        <v>1673</v>
      </c>
      <c r="D5" s="3756"/>
      <c r="E5" s="3753" t="s">
        <v>1674</v>
      </c>
      <c r="F5" s="3754"/>
      <c r="G5" s="3755" t="s">
        <v>1675</v>
      </c>
      <c r="H5" s="3756"/>
      <c r="I5" s="3755" t="s">
        <v>1676</v>
      </c>
      <c r="J5" s="3756"/>
      <c r="K5" s="1890"/>
      <c r="L5" s="2715"/>
      <c r="M5" s="2716"/>
      <c r="N5" s="2716"/>
      <c r="O5" s="2716"/>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1890" t="s">
        <v>1678</v>
      </c>
      <c r="L6" s="2715"/>
      <c r="M6" s="2716"/>
      <c r="N6" s="2716"/>
      <c r="O6" s="2716"/>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7" t="s">
        <v>1680</v>
      </c>
      <c r="Q7" s="3775"/>
      <c r="R7" s="701" t="s">
        <v>20</v>
      </c>
      <c r="S7" s="702">
        <f t="shared" ref="S7:S15" si="0">F7</f>
        <v>0</v>
      </c>
      <c r="T7" s="701" t="s">
        <v>20</v>
      </c>
      <c r="U7" s="702">
        <f t="shared" ref="U7:U15" si="1">H7</f>
        <v>0</v>
      </c>
      <c r="V7" s="701" t="s">
        <v>20</v>
      </c>
      <c r="W7" s="702">
        <f t="shared" ref="W7:W15" si="2">J7</f>
        <v>0</v>
      </c>
      <c r="X7" s="703"/>
      <c r="Y7" s="3747" t="s">
        <v>1680</v>
      </c>
      <c r="Z7" s="374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61"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61"/>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61"/>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61"/>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61"/>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61"/>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88" t="s">
        <v>1691</v>
      </c>
      <c r="Q15" s="1352" t="str">
        <f t="shared" si="6"/>
        <v>居住社区成熟度</v>
      </c>
      <c r="R15" s="705" t="s">
        <v>18</v>
      </c>
      <c r="S15" s="706">
        <f t="shared" si="0"/>
        <v>100</v>
      </c>
      <c r="T15" s="705" t="s">
        <v>18</v>
      </c>
      <c r="U15" s="706">
        <f t="shared" si="1"/>
        <v>100</v>
      </c>
      <c r="V15" s="705" t="s">
        <v>18</v>
      </c>
      <c r="W15" s="706">
        <f t="shared" si="2"/>
        <v>100</v>
      </c>
      <c r="X15" s="1355"/>
      <c r="Y15" s="37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9"/>
      <c r="Q16" s="1352"/>
      <c r="R16" s="705"/>
      <c r="S16" s="706"/>
      <c r="T16" s="705"/>
      <c r="U16" s="706"/>
      <c r="V16" s="705"/>
      <c r="W16" s="706"/>
      <c r="X16" s="1355"/>
      <c r="Y16" s="378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9"/>
      <c r="Q17" s="1352" t="str">
        <f>B17</f>
        <v>交通便捷度</v>
      </c>
      <c r="R17" s="705" t="s">
        <v>18</v>
      </c>
      <c r="S17" s="706">
        <f>F17</f>
        <v>100</v>
      </c>
      <c r="T17" s="705" t="s">
        <v>18</v>
      </c>
      <c r="U17" s="706">
        <f>H17</f>
        <v>100</v>
      </c>
      <c r="V17" s="705" t="s">
        <v>18</v>
      </c>
      <c r="W17" s="706">
        <f>J17</f>
        <v>100</v>
      </c>
      <c r="X17" s="1355"/>
      <c r="Y17" s="37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9"/>
      <c r="Q18" s="1352"/>
      <c r="R18" s="705"/>
      <c r="S18" s="706"/>
      <c r="T18" s="705"/>
      <c r="U18" s="706"/>
      <c r="V18" s="705"/>
      <c r="W18" s="706"/>
      <c r="X18" s="1355"/>
      <c r="Y18" s="378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9"/>
      <c r="Q19" s="1352" t="str">
        <f>B19</f>
        <v>公共配套设施</v>
      </c>
      <c r="R19" s="705" t="s">
        <v>18</v>
      </c>
      <c r="S19" s="706">
        <f>F19</f>
        <v>100</v>
      </c>
      <c r="T19" s="705" t="s">
        <v>18</v>
      </c>
      <c r="U19" s="706">
        <f>H19</f>
        <v>100</v>
      </c>
      <c r="V19" s="705" t="s">
        <v>18</v>
      </c>
      <c r="W19" s="706">
        <f>J19</f>
        <v>100</v>
      </c>
      <c r="X19" s="1355"/>
      <c r="Y19" s="37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9"/>
      <c r="Q20" s="1352"/>
      <c r="R20" s="705"/>
      <c r="S20" s="706"/>
      <c r="T20" s="705"/>
      <c r="U20" s="706"/>
      <c r="V20" s="705"/>
      <c r="W20" s="706"/>
      <c r="X20" s="1355"/>
      <c r="Y20" s="378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9"/>
      <c r="Q22" s="1352"/>
      <c r="R22" s="705"/>
      <c r="S22" s="706"/>
      <c r="T22" s="705"/>
      <c r="U22" s="706"/>
      <c r="V22" s="705"/>
      <c r="W22" s="706"/>
      <c r="X22" s="1355"/>
      <c r="Y22" s="378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9"/>
      <c r="Q23" s="1352" t="str">
        <f>B23</f>
        <v>自然及人文环境</v>
      </c>
      <c r="R23" s="705" t="s">
        <v>18</v>
      </c>
      <c r="S23" s="706">
        <f>F23</f>
        <v>100</v>
      </c>
      <c r="T23" s="705" t="s">
        <v>18</v>
      </c>
      <c r="U23" s="706">
        <f>H23</f>
        <v>100</v>
      </c>
      <c r="V23" s="705" t="s">
        <v>18</v>
      </c>
      <c r="W23" s="706">
        <f>J23</f>
        <v>100</v>
      </c>
      <c r="X23" s="1355"/>
      <c r="Y23" s="37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9"/>
      <c r="Q24" s="1352"/>
      <c r="R24" s="705"/>
      <c r="S24" s="706"/>
      <c r="T24" s="705"/>
      <c r="U24" s="706"/>
      <c r="V24" s="705"/>
      <c r="W24" s="706"/>
      <c r="X24" s="1355"/>
      <c r="Y24" s="378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9"/>
      <c r="Q26" s="1352" t="str">
        <f t="shared" si="11"/>
        <v>朝向</v>
      </c>
      <c r="R26" s="705" t="s">
        <v>18</v>
      </c>
      <c r="S26" s="706">
        <f t="shared" si="12"/>
        <v>100</v>
      </c>
      <c r="T26" s="705" t="s">
        <v>18</v>
      </c>
      <c r="U26" s="706">
        <f t="shared" si="13"/>
        <v>100</v>
      </c>
      <c r="V26" s="705" t="s">
        <v>18</v>
      </c>
      <c r="W26" s="706">
        <f t="shared" si="14"/>
        <v>100</v>
      </c>
      <c r="X26" s="1355"/>
      <c r="Y26" s="37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9"/>
      <c r="Q27" s="1343">
        <f t="shared" si="11"/>
        <v>111</v>
      </c>
      <c r="R27" s="701" t="s">
        <v>18</v>
      </c>
      <c r="S27" s="702">
        <f t="shared" si="12"/>
        <v>100</v>
      </c>
      <c r="T27" s="701" t="s">
        <v>18</v>
      </c>
      <c r="U27" s="702">
        <f t="shared" si="13"/>
        <v>100</v>
      </c>
      <c r="V27" s="701" t="s">
        <v>18</v>
      </c>
      <c r="W27" s="702">
        <f t="shared" si="14"/>
        <v>100</v>
      </c>
      <c r="X27" s="703"/>
      <c r="Y27" s="37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9"/>
      <c r="Q28" s="1352">
        <f t="shared" si="11"/>
        <v>111</v>
      </c>
      <c r="R28" s="705" t="s">
        <v>18</v>
      </c>
      <c r="S28" s="706">
        <f t="shared" si="12"/>
        <v>100</v>
      </c>
      <c r="T28" s="705" t="s">
        <v>18</v>
      </c>
      <c r="U28" s="706">
        <f t="shared" si="13"/>
        <v>100</v>
      </c>
      <c r="V28" s="705" t="s">
        <v>18</v>
      </c>
      <c r="W28" s="706">
        <f t="shared" si="14"/>
        <v>100</v>
      </c>
      <c r="X28" s="1355"/>
      <c r="Y28" s="37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9"/>
      <c r="Q29" s="1352">
        <f t="shared" si="11"/>
        <v>111</v>
      </c>
      <c r="R29" s="705" t="s">
        <v>18</v>
      </c>
      <c r="S29" s="706">
        <f t="shared" si="12"/>
        <v>100</v>
      </c>
      <c r="T29" s="705" t="s">
        <v>18</v>
      </c>
      <c r="U29" s="706">
        <f t="shared" si="13"/>
        <v>100</v>
      </c>
      <c r="V29" s="705" t="s">
        <v>18</v>
      </c>
      <c r="W29" s="706">
        <f t="shared" si="14"/>
        <v>100</v>
      </c>
      <c r="X29" s="1355"/>
      <c r="Y29" s="37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9"/>
      <c r="Q30" s="1352">
        <f t="shared" si="11"/>
        <v>111</v>
      </c>
      <c r="R30" s="705" t="s">
        <v>18</v>
      </c>
      <c r="S30" s="706">
        <f t="shared" si="12"/>
        <v>100</v>
      </c>
      <c r="T30" s="705" t="s">
        <v>18</v>
      </c>
      <c r="U30" s="706">
        <f t="shared" si="13"/>
        <v>100</v>
      </c>
      <c r="V30" s="705" t="s">
        <v>18</v>
      </c>
      <c r="W30" s="706">
        <f t="shared" si="14"/>
        <v>100</v>
      </c>
      <c r="X30" s="1355"/>
      <c r="Y30" s="378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9"/>
      <c r="Q31" s="1352">
        <f t="shared" si="11"/>
        <v>111</v>
      </c>
      <c r="R31" s="705" t="s">
        <v>18</v>
      </c>
      <c r="S31" s="706">
        <f t="shared" si="12"/>
        <v>100</v>
      </c>
      <c r="T31" s="705" t="s">
        <v>18</v>
      </c>
      <c r="U31" s="706">
        <f t="shared" si="13"/>
        <v>100</v>
      </c>
      <c r="V31" s="705" t="s">
        <v>18</v>
      </c>
      <c r="W31" s="706">
        <f t="shared" si="14"/>
        <v>100</v>
      </c>
      <c r="X31" s="1355"/>
      <c r="Y31" s="378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83" t="s">
        <v>1696</v>
      </c>
      <c r="Q32" s="1352" t="str">
        <f t="shared" si="11"/>
        <v>建筑类型</v>
      </c>
      <c r="R32" s="705" t="s">
        <v>18</v>
      </c>
      <c r="S32" s="706">
        <f t="shared" si="12"/>
        <v>100</v>
      </c>
      <c r="T32" s="705" t="s">
        <v>18</v>
      </c>
      <c r="U32" s="706">
        <f t="shared" si="13"/>
        <v>100</v>
      </c>
      <c r="V32" s="705" t="s">
        <v>18</v>
      </c>
      <c r="W32" s="706">
        <f t="shared" si="14"/>
        <v>100</v>
      </c>
      <c r="X32" s="1355"/>
      <c r="Y32" s="378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84"/>
      <c r="Q33" s="707" t="str">
        <f t="shared" si="11"/>
        <v>项目建筑规模</v>
      </c>
      <c r="R33" s="708" t="s">
        <v>18</v>
      </c>
      <c r="S33" s="709" t="e">
        <f t="shared" si="12"/>
        <v>#N/A</v>
      </c>
      <c r="T33" s="708" t="s">
        <v>18</v>
      </c>
      <c r="U33" s="709" t="e">
        <f t="shared" si="13"/>
        <v>#N/A</v>
      </c>
      <c r="V33" s="708" t="s">
        <v>18</v>
      </c>
      <c r="W33" s="709" t="e">
        <f t="shared" si="14"/>
        <v>#N/A</v>
      </c>
      <c r="X33" s="710"/>
      <c r="Y33" s="378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84"/>
      <c r="Q34" s="1352" t="str">
        <f t="shared" si="11"/>
        <v>建筑结构</v>
      </c>
      <c r="R34" s="705" t="s">
        <v>18</v>
      </c>
      <c r="S34" s="706">
        <f t="shared" si="12"/>
        <v>100</v>
      </c>
      <c r="T34" s="705" t="s">
        <v>18</v>
      </c>
      <c r="U34" s="706">
        <f t="shared" si="13"/>
        <v>100</v>
      </c>
      <c r="V34" s="705" t="s">
        <v>18</v>
      </c>
      <c r="W34" s="706">
        <f t="shared" si="14"/>
        <v>100</v>
      </c>
      <c r="X34" s="1355"/>
      <c r="Y34" s="378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84"/>
      <c r="Q35" s="1352" t="str">
        <f t="shared" si="11"/>
        <v>建筑品质</v>
      </c>
      <c r="R35" s="705" t="s">
        <v>18</v>
      </c>
      <c r="S35" s="706">
        <f t="shared" si="12"/>
        <v>100</v>
      </c>
      <c r="T35" s="705" t="s">
        <v>18</v>
      </c>
      <c r="U35" s="706">
        <f t="shared" si="13"/>
        <v>100</v>
      </c>
      <c r="V35" s="705" t="s">
        <v>18</v>
      </c>
      <c r="W35" s="706">
        <f t="shared" si="14"/>
        <v>100</v>
      </c>
      <c r="X35" s="1355"/>
      <c r="Y35" s="378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84"/>
      <c r="Q36" s="1352" t="str">
        <f t="shared" si="11"/>
        <v>公共部分装修</v>
      </c>
      <c r="R36" s="705" t="s">
        <v>18</v>
      </c>
      <c r="S36" s="706">
        <f t="shared" si="12"/>
        <v>100</v>
      </c>
      <c r="T36" s="705" t="s">
        <v>18</v>
      </c>
      <c r="U36" s="706">
        <f t="shared" si="13"/>
        <v>100</v>
      </c>
      <c r="V36" s="705" t="s">
        <v>18</v>
      </c>
      <c r="W36" s="706">
        <f t="shared" si="14"/>
        <v>100</v>
      </c>
      <c r="X36" s="1355"/>
      <c r="Y36" s="378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84"/>
      <c r="Q37" s="1343" t="str">
        <f t="shared" si="11"/>
        <v>成新度</v>
      </c>
      <c r="R37" s="701" t="s">
        <v>18</v>
      </c>
      <c r="S37" s="702" t="e">
        <f t="shared" si="12"/>
        <v>#N/A</v>
      </c>
      <c r="T37" s="701" t="s">
        <v>18</v>
      </c>
      <c r="U37" s="702" t="e">
        <f t="shared" si="13"/>
        <v>#N/A</v>
      </c>
      <c r="V37" s="701" t="s">
        <v>18</v>
      </c>
      <c r="W37" s="702" t="e">
        <f t="shared" si="14"/>
        <v>#N/A</v>
      </c>
      <c r="X37" s="703"/>
      <c r="Y37" s="378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84" t="s">
        <v>1696</v>
      </c>
      <c r="Q38" s="1352" t="str">
        <f t="shared" si="11"/>
        <v>物业管理</v>
      </c>
      <c r="R38" s="705" t="s">
        <v>18</v>
      </c>
      <c r="S38" s="706">
        <f t="shared" si="12"/>
        <v>100</v>
      </c>
      <c r="T38" s="705" t="s">
        <v>18</v>
      </c>
      <c r="U38" s="706">
        <f t="shared" si="13"/>
        <v>100</v>
      </c>
      <c r="V38" s="705" t="s">
        <v>18</v>
      </c>
      <c r="W38" s="706">
        <f t="shared" si="14"/>
        <v>100</v>
      </c>
      <c r="X38" s="1355"/>
      <c r="Y38" s="378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84"/>
      <c r="Q39" s="1352" t="str">
        <f t="shared" si="11"/>
        <v>市政基础设施</v>
      </c>
      <c r="R39" s="705" t="s">
        <v>18</v>
      </c>
      <c r="S39" s="706">
        <f t="shared" si="12"/>
        <v>100</v>
      </c>
      <c r="T39" s="705" t="s">
        <v>18</v>
      </c>
      <c r="U39" s="706">
        <f t="shared" si="13"/>
        <v>100</v>
      </c>
      <c r="V39" s="705" t="s">
        <v>18</v>
      </c>
      <c r="W39" s="706">
        <f t="shared" si="14"/>
        <v>100</v>
      </c>
      <c r="X39" s="1355"/>
      <c r="Y39" s="378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84"/>
      <c r="Q40" s="1352" t="str">
        <f t="shared" si="11"/>
        <v>房型</v>
      </c>
      <c r="R40" s="705" t="s">
        <v>18</v>
      </c>
      <c r="S40" s="706">
        <f t="shared" si="12"/>
        <v>100</v>
      </c>
      <c r="T40" s="705" t="s">
        <v>18</v>
      </c>
      <c r="U40" s="706">
        <f t="shared" si="13"/>
        <v>100</v>
      </c>
      <c r="V40" s="705" t="s">
        <v>18</v>
      </c>
      <c r="W40" s="706">
        <f t="shared" si="14"/>
        <v>100</v>
      </c>
      <c r="X40" s="1355"/>
      <c r="Y40" s="378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84"/>
      <c r="Q41" s="707" t="str">
        <f t="shared" si="11"/>
        <v>单套/主力户型建筑面积</v>
      </c>
      <c r="R41" s="708" t="s">
        <v>18</v>
      </c>
      <c r="S41" s="709">
        <f t="shared" si="12"/>
        <v>100</v>
      </c>
      <c r="T41" s="708" t="s">
        <v>18</v>
      </c>
      <c r="U41" s="709">
        <f t="shared" si="13"/>
        <v>100</v>
      </c>
      <c r="V41" s="708" t="s">
        <v>18</v>
      </c>
      <c r="W41" s="709">
        <f t="shared" si="14"/>
        <v>100</v>
      </c>
      <c r="X41" s="710"/>
      <c r="Y41" s="378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84"/>
      <c r="Q42" s="1352" t="str">
        <f t="shared" si="11"/>
        <v>内部装修</v>
      </c>
      <c r="R42" s="705" t="s">
        <v>18</v>
      </c>
      <c r="S42" s="706">
        <f t="shared" si="12"/>
        <v>100</v>
      </c>
      <c r="T42" s="705" t="s">
        <v>18</v>
      </c>
      <c r="U42" s="706">
        <f t="shared" si="13"/>
        <v>100</v>
      </c>
      <c r="V42" s="705" t="s">
        <v>18</v>
      </c>
      <c r="W42" s="706">
        <f t="shared" si="14"/>
        <v>100</v>
      </c>
      <c r="X42" s="1355"/>
      <c r="Y42" s="378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84"/>
      <c r="Q43" s="1352" t="str">
        <f t="shared" si="11"/>
        <v>内部装修维护情况</v>
      </c>
      <c r="R43" s="705" t="s">
        <v>18</v>
      </c>
      <c r="S43" s="706">
        <f t="shared" si="12"/>
        <v>100</v>
      </c>
      <c r="T43" s="705" t="s">
        <v>18</v>
      </c>
      <c r="U43" s="706">
        <f t="shared" si="13"/>
        <v>100</v>
      </c>
      <c r="V43" s="705" t="s">
        <v>18</v>
      </c>
      <c r="W43" s="706">
        <f t="shared" si="14"/>
        <v>100</v>
      </c>
      <c r="X43" s="1355"/>
      <c r="Y43" s="378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84"/>
      <c r="Q44" s="1343">
        <f t="shared" si="11"/>
        <v>111</v>
      </c>
      <c r="R44" s="701" t="s">
        <v>18</v>
      </c>
      <c r="S44" s="702">
        <f t="shared" si="12"/>
        <v>100</v>
      </c>
      <c r="T44" s="701" t="s">
        <v>18</v>
      </c>
      <c r="U44" s="702">
        <f t="shared" si="13"/>
        <v>100</v>
      </c>
      <c r="V44" s="701" t="s">
        <v>18</v>
      </c>
      <c r="W44" s="702">
        <f t="shared" si="14"/>
        <v>100</v>
      </c>
      <c r="X44" s="703"/>
      <c r="Y44" s="37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84"/>
      <c r="Q45" s="1352">
        <f t="shared" si="11"/>
        <v>111</v>
      </c>
      <c r="R45" s="705" t="s">
        <v>18</v>
      </c>
      <c r="S45" s="706">
        <f t="shared" si="12"/>
        <v>100</v>
      </c>
      <c r="T45" s="705" t="s">
        <v>18</v>
      </c>
      <c r="U45" s="706">
        <f t="shared" si="13"/>
        <v>100</v>
      </c>
      <c r="V45" s="705" t="s">
        <v>18</v>
      </c>
      <c r="W45" s="706">
        <f t="shared" si="14"/>
        <v>100</v>
      </c>
      <c r="X45" s="1355"/>
      <c r="Y45" s="378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85"/>
      <c r="Q46" s="1352">
        <f t="shared" si="11"/>
        <v>111</v>
      </c>
      <c r="R46" s="705" t="s">
        <v>17</v>
      </c>
      <c r="S46" s="706">
        <f t="shared" si="12"/>
        <v>100</v>
      </c>
      <c r="T46" s="705" t="s">
        <v>17</v>
      </c>
      <c r="U46" s="706">
        <f t="shared" si="13"/>
        <v>100</v>
      </c>
      <c r="V46" s="705" t="s">
        <v>17</v>
      </c>
      <c r="W46" s="706">
        <f t="shared" si="14"/>
        <v>100</v>
      </c>
      <c r="X46" s="1355"/>
      <c r="Y46" s="378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79" t="str">
        <f>A47</f>
        <v>成交单价（元/平方米）</v>
      </c>
      <c r="Q47" s="3779"/>
      <c r="R47" s="3780">
        <f>E47</f>
        <v>0</v>
      </c>
      <c r="S47" s="3780"/>
      <c r="T47" s="3780">
        <f>G47</f>
        <v>0</v>
      </c>
      <c r="U47" s="3780"/>
      <c r="V47" s="3780">
        <f>I47</f>
        <v>0</v>
      </c>
      <c r="W47" s="378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79" t="str">
        <f>A48</f>
        <v>比较价值（元/平方米）</v>
      </c>
      <c r="Q48" s="3779"/>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62" t="s">
        <v>1770</v>
      </c>
      <c r="D4" s="3763"/>
      <c r="E4" s="3764" t="s">
        <v>1771</v>
      </c>
      <c r="F4" s="3765"/>
      <c r="G4" s="3762" t="s">
        <v>1772</v>
      </c>
      <c r="H4" s="3763"/>
      <c r="I4" s="3762" t="s">
        <v>1773</v>
      </c>
      <c r="J4" s="3763"/>
      <c r="K4" s="559" t="s">
        <v>1774</v>
      </c>
      <c r="L4" s="2715"/>
      <c r="M4" s="2716"/>
      <c r="N4" s="2716"/>
      <c r="O4" s="2716"/>
      <c r="P4" s="3766" t="s">
        <v>1775</v>
      </c>
      <c r="Q4" s="3767"/>
      <c r="R4" s="3749" t="s">
        <v>1771</v>
      </c>
      <c r="S4" s="3750"/>
      <c r="T4" s="3749" t="s">
        <v>1772</v>
      </c>
      <c r="U4" s="3750"/>
      <c r="V4" s="3774" t="s">
        <v>1773</v>
      </c>
      <c r="W4" s="3774"/>
      <c r="X4" s="1355"/>
      <c r="Y4" s="3749" t="s">
        <v>1775</v>
      </c>
      <c r="Z4" s="3750"/>
      <c r="AA4" s="3744" t="s">
        <v>1771</v>
      </c>
      <c r="AB4" s="3774" t="s">
        <v>1772</v>
      </c>
      <c r="AC4" s="3744" t="s">
        <v>1773</v>
      </c>
    </row>
    <row r="5" spans="1:29">
      <c r="A5" s="358"/>
      <c r="B5" s="359"/>
      <c r="C5" s="3755" t="s">
        <v>1673</v>
      </c>
      <c r="D5" s="3756"/>
      <c r="E5" s="3753" t="s">
        <v>1674</v>
      </c>
      <c r="F5" s="3754"/>
      <c r="G5" s="3755" t="s">
        <v>1675</v>
      </c>
      <c r="H5" s="3756"/>
      <c r="I5" s="3755" t="s">
        <v>1676</v>
      </c>
      <c r="J5" s="3756"/>
      <c r="K5" s="559"/>
      <c r="L5" s="2715"/>
      <c r="M5" s="2716"/>
      <c r="N5" s="2716"/>
      <c r="O5" s="2716"/>
      <c r="P5" s="3768"/>
      <c r="Q5" s="3769"/>
      <c r="R5" s="3751"/>
      <c r="S5" s="3752"/>
      <c r="T5" s="3751"/>
      <c r="U5" s="3752"/>
      <c r="V5" s="3774"/>
      <c r="W5" s="3774"/>
      <c r="X5" s="1355"/>
      <c r="Y5" s="3751"/>
      <c r="Z5" s="3752"/>
      <c r="AA5" s="3745"/>
      <c r="AB5" s="3774"/>
      <c r="AC5" s="3745"/>
    </row>
    <row r="6" spans="1:29" ht="15" thickBot="1">
      <c r="A6" s="360"/>
      <c r="B6" s="361"/>
      <c r="C6" s="3757" t="s">
        <v>1677</v>
      </c>
      <c r="D6" s="3758"/>
      <c r="E6" s="3759" t="s">
        <v>1677</v>
      </c>
      <c r="F6" s="3760"/>
      <c r="G6" s="3757" t="s">
        <v>1677</v>
      </c>
      <c r="H6" s="3758"/>
      <c r="I6" s="3757" t="s">
        <v>1677</v>
      </c>
      <c r="J6" s="3758"/>
      <c r="K6" s="559" t="s">
        <v>1678</v>
      </c>
      <c r="L6" s="2715"/>
      <c r="M6" s="2716"/>
      <c r="N6" s="2716"/>
      <c r="O6" s="2716"/>
      <c r="P6" s="3770"/>
      <c r="Q6" s="3771"/>
      <c r="R6" s="3751"/>
      <c r="S6" s="3752"/>
      <c r="T6" s="3772"/>
      <c r="U6" s="3773"/>
      <c r="V6" s="3774"/>
      <c r="W6" s="3774"/>
      <c r="X6" s="1355"/>
      <c r="Y6" s="3772"/>
      <c r="Z6" s="3773"/>
      <c r="AA6" s="3746"/>
      <c r="AB6" s="3774"/>
      <c r="AC6" s="3746"/>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7" t="s">
        <v>1680</v>
      </c>
      <c r="Q7" s="3775"/>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61"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61"/>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61"/>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61"/>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61"/>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61"/>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88" t="s">
        <v>1691</v>
      </c>
      <c r="Q15" s="1352" t="str">
        <f t="shared" si="6"/>
        <v>商业繁华度</v>
      </c>
      <c r="R15" s="705" t="s">
        <v>14</v>
      </c>
      <c r="S15" s="706">
        <f t="shared" si="0"/>
        <v>100</v>
      </c>
      <c r="T15" s="705" t="s">
        <v>14</v>
      </c>
      <c r="U15" s="706">
        <f t="shared" si="1"/>
        <v>100</v>
      </c>
      <c r="V15" s="705" t="s">
        <v>14</v>
      </c>
      <c r="W15" s="706">
        <f t="shared" si="2"/>
        <v>100</v>
      </c>
      <c r="X15" s="1355"/>
      <c r="Y15" s="37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9"/>
      <c r="Q16" s="1352"/>
      <c r="R16" s="705"/>
      <c r="S16" s="706"/>
      <c r="T16" s="705"/>
      <c r="U16" s="706"/>
      <c r="V16" s="705"/>
      <c r="W16" s="706"/>
      <c r="X16" s="1355"/>
      <c r="Y16" s="378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9"/>
      <c r="Q17" s="1352" t="str">
        <f>B17</f>
        <v>交通便捷度</v>
      </c>
      <c r="R17" s="705" t="s">
        <v>14</v>
      </c>
      <c r="S17" s="706">
        <f>F17</f>
        <v>100</v>
      </c>
      <c r="T17" s="705" t="s">
        <v>14</v>
      </c>
      <c r="U17" s="706">
        <f>H17</f>
        <v>100</v>
      </c>
      <c r="V17" s="705" t="s">
        <v>14</v>
      </c>
      <c r="W17" s="706">
        <f>J17</f>
        <v>100</v>
      </c>
      <c r="X17" s="1355"/>
      <c r="Y17" s="37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9"/>
      <c r="Q18" s="1352"/>
      <c r="R18" s="705"/>
      <c r="S18" s="706"/>
      <c r="T18" s="705"/>
      <c r="U18" s="706"/>
      <c r="V18" s="705"/>
      <c r="W18" s="706"/>
      <c r="X18" s="1355"/>
      <c r="Y18" s="378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9"/>
      <c r="Q19" s="1352" t="str">
        <f>B19</f>
        <v>公共配套设施</v>
      </c>
      <c r="R19" s="705" t="s">
        <v>14</v>
      </c>
      <c r="S19" s="706">
        <f>F19</f>
        <v>100</v>
      </c>
      <c r="T19" s="705" t="s">
        <v>14</v>
      </c>
      <c r="U19" s="706">
        <f>H19</f>
        <v>100</v>
      </c>
      <c r="V19" s="705" t="s">
        <v>14</v>
      </c>
      <c r="W19" s="706">
        <f>J19</f>
        <v>100</v>
      </c>
      <c r="X19" s="1355"/>
      <c r="Y19" s="37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9"/>
      <c r="Q20" s="1352"/>
      <c r="R20" s="705"/>
      <c r="S20" s="706"/>
      <c r="T20" s="705"/>
      <c r="U20" s="706"/>
      <c r="V20" s="705"/>
      <c r="W20" s="706"/>
      <c r="X20" s="1355"/>
      <c r="Y20" s="378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9"/>
      <c r="Q22" s="1352"/>
      <c r="R22" s="705"/>
      <c r="S22" s="706"/>
      <c r="T22" s="705"/>
      <c r="U22" s="706"/>
      <c r="V22" s="705"/>
      <c r="W22" s="706"/>
      <c r="X22" s="1355"/>
      <c r="Y22" s="378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9"/>
      <c r="Q23" s="1352" t="str">
        <f>B23</f>
        <v>自然及人文环境</v>
      </c>
      <c r="R23" s="705" t="s">
        <v>14</v>
      </c>
      <c r="S23" s="706">
        <f>F23</f>
        <v>100</v>
      </c>
      <c r="T23" s="705" t="s">
        <v>14</v>
      </c>
      <c r="U23" s="706">
        <f>H23</f>
        <v>100</v>
      </c>
      <c r="V23" s="705" t="s">
        <v>14</v>
      </c>
      <c r="W23" s="706">
        <f>J23</f>
        <v>100</v>
      </c>
      <c r="X23" s="1355"/>
      <c r="Y23" s="37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9"/>
      <c r="Q24" s="1352"/>
      <c r="R24" s="705"/>
      <c r="S24" s="706"/>
      <c r="T24" s="705"/>
      <c r="U24" s="706"/>
      <c r="V24" s="705"/>
      <c r="W24" s="706"/>
      <c r="X24" s="1355"/>
      <c r="Y24" s="37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9"/>
      <c r="Q25" s="1352" t="str">
        <f t="shared" ref="Q25:Q46" si="11">B25</f>
        <v>临街状况</v>
      </c>
      <c r="R25" s="705" t="s">
        <v>14</v>
      </c>
      <c r="S25" s="706">
        <f>F25</f>
        <v>100</v>
      </c>
      <c r="T25" s="705" t="s">
        <v>14</v>
      </c>
      <c r="U25" s="706">
        <f>H25</f>
        <v>100</v>
      </c>
      <c r="V25" s="705" t="s">
        <v>14</v>
      </c>
      <c r="W25" s="706">
        <f>J25</f>
        <v>100</v>
      </c>
      <c r="X25" s="1355"/>
      <c r="Y25" s="37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9"/>
      <c r="Q26" s="1352" t="str">
        <f t="shared" si="11"/>
        <v>平面位置/可视性</v>
      </c>
      <c r="R26" s="705" t="s">
        <v>14</v>
      </c>
      <c r="S26" s="706">
        <f>F26</f>
        <v>100</v>
      </c>
      <c r="T26" s="705" t="s">
        <v>14</v>
      </c>
      <c r="U26" s="706">
        <f>H26</f>
        <v>100</v>
      </c>
      <c r="V26" s="705" t="s">
        <v>14</v>
      </c>
      <c r="W26" s="706">
        <f>J26</f>
        <v>100</v>
      </c>
      <c r="X26" s="1355"/>
      <c r="Y26" s="37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9"/>
      <c r="Q27" s="1343" t="str">
        <f t="shared" si="11"/>
        <v>人流量</v>
      </c>
      <c r="R27" s="701" t="s">
        <v>14</v>
      </c>
      <c r="S27" s="702">
        <f>F27</f>
        <v>100</v>
      </c>
      <c r="T27" s="701" t="s">
        <v>14</v>
      </c>
      <c r="U27" s="702">
        <f>H27</f>
        <v>100</v>
      </c>
      <c r="V27" s="701" t="s">
        <v>14</v>
      </c>
      <c r="W27" s="702">
        <f>J27</f>
        <v>100</v>
      </c>
      <c r="X27" s="703"/>
      <c r="Y27" s="37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9"/>
      <c r="Q29" s="1352">
        <f t="shared" si="11"/>
        <v>111</v>
      </c>
      <c r="R29" s="705" t="s">
        <v>14</v>
      </c>
      <c r="S29" s="706">
        <f t="shared" si="12"/>
        <v>100</v>
      </c>
      <c r="T29" s="705" t="s">
        <v>14</v>
      </c>
      <c r="U29" s="706">
        <f t="shared" si="13"/>
        <v>100</v>
      </c>
      <c r="V29" s="705" t="s">
        <v>14</v>
      </c>
      <c r="W29" s="706">
        <f t="shared" si="14"/>
        <v>100</v>
      </c>
      <c r="X29" s="1355"/>
      <c r="Y29" s="37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9"/>
      <c r="Q30" s="1352">
        <f t="shared" si="11"/>
        <v>111</v>
      </c>
      <c r="R30" s="705" t="s">
        <v>14</v>
      </c>
      <c r="S30" s="706">
        <f t="shared" si="12"/>
        <v>100</v>
      </c>
      <c r="T30" s="705" t="s">
        <v>14</v>
      </c>
      <c r="U30" s="706">
        <f t="shared" si="13"/>
        <v>100</v>
      </c>
      <c r="V30" s="705" t="s">
        <v>14</v>
      </c>
      <c r="W30" s="706">
        <f t="shared" si="14"/>
        <v>100</v>
      </c>
      <c r="X30" s="1355"/>
      <c r="Y30" s="378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9"/>
      <c r="Q31" s="1352">
        <f t="shared" si="11"/>
        <v>111</v>
      </c>
      <c r="R31" s="705" t="s">
        <v>14</v>
      </c>
      <c r="S31" s="706">
        <f t="shared" si="12"/>
        <v>100</v>
      </c>
      <c r="T31" s="705" t="s">
        <v>14</v>
      </c>
      <c r="U31" s="706">
        <f t="shared" si="13"/>
        <v>100</v>
      </c>
      <c r="V31" s="705" t="s">
        <v>14</v>
      </c>
      <c r="W31" s="706">
        <f t="shared" si="14"/>
        <v>100</v>
      </c>
      <c r="X31" s="1355"/>
      <c r="Y31" s="37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3" t="s">
        <v>1696</v>
      </c>
      <c r="Q32" s="1352" t="str">
        <f t="shared" si="11"/>
        <v>商业类型</v>
      </c>
      <c r="R32" s="705" t="s">
        <v>14</v>
      </c>
      <c r="S32" s="706">
        <f t="shared" si="12"/>
        <v>100</v>
      </c>
      <c r="T32" s="705" t="s">
        <v>14</v>
      </c>
      <c r="U32" s="706">
        <f t="shared" si="13"/>
        <v>100</v>
      </c>
      <c r="V32" s="705" t="s">
        <v>14</v>
      </c>
      <c r="W32" s="706">
        <f t="shared" si="14"/>
        <v>100</v>
      </c>
      <c r="X32" s="1355"/>
      <c r="Y32" s="37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84"/>
      <c r="Q33" s="707" t="str">
        <f t="shared" si="11"/>
        <v>项目建筑规模</v>
      </c>
      <c r="R33" s="708" t="s">
        <v>14</v>
      </c>
      <c r="S33" s="709" t="e">
        <f t="shared" si="12"/>
        <v>#N/A</v>
      </c>
      <c r="T33" s="708" t="s">
        <v>14</v>
      </c>
      <c r="U33" s="709" t="e">
        <f t="shared" si="13"/>
        <v>#N/A</v>
      </c>
      <c r="V33" s="708" t="s">
        <v>14</v>
      </c>
      <c r="W33" s="709" t="e">
        <f t="shared" si="14"/>
        <v>#N/A</v>
      </c>
      <c r="X33" s="710"/>
      <c r="Y33" s="378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84"/>
      <c r="Q34" s="1352" t="str">
        <f t="shared" si="11"/>
        <v>建筑结构</v>
      </c>
      <c r="R34" s="705" t="s">
        <v>14</v>
      </c>
      <c r="S34" s="706">
        <f t="shared" si="12"/>
        <v>100</v>
      </c>
      <c r="T34" s="705" t="s">
        <v>14</v>
      </c>
      <c r="U34" s="706">
        <f t="shared" si="13"/>
        <v>100</v>
      </c>
      <c r="V34" s="705" t="s">
        <v>14</v>
      </c>
      <c r="W34" s="706">
        <f t="shared" si="14"/>
        <v>100</v>
      </c>
      <c r="X34" s="1355"/>
      <c r="Y34" s="378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84"/>
      <c r="Q35" s="1352" t="str">
        <f t="shared" si="11"/>
        <v>公共部分装修</v>
      </c>
      <c r="R35" s="705" t="s">
        <v>14</v>
      </c>
      <c r="S35" s="706">
        <f t="shared" si="12"/>
        <v>100</v>
      </c>
      <c r="T35" s="705" t="s">
        <v>14</v>
      </c>
      <c r="U35" s="706">
        <f t="shared" si="13"/>
        <v>100</v>
      </c>
      <c r="V35" s="705" t="s">
        <v>14</v>
      </c>
      <c r="W35" s="706">
        <f t="shared" si="14"/>
        <v>100</v>
      </c>
      <c r="X35" s="1355"/>
      <c r="Y35" s="37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84"/>
      <c r="Q36" s="1352" t="str">
        <f t="shared" si="11"/>
        <v>成新度</v>
      </c>
      <c r="R36" s="705" t="s">
        <v>14</v>
      </c>
      <c r="S36" s="706" t="e">
        <f t="shared" si="12"/>
        <v>#N/A</v>
      </c>
      <c r="T36" s="705" t="s">
        <v>14</v>
      </c>
      <c r="U36" s="706" t="e">
        <f t="shared" si="13"/>
        <v>#N/A</v>
      </c>
      <c r="V36" s="705" t="s">
        <v>14</v>
      </c>
      <c r="W36" s="706" t="e">
        <f t="shared" si="14"/>
        <v>#N/A</v>
      </c>
      <c r="X36" s="1355"/>
      <c r="Y36" s="378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84"/>
      <c r="Q37" s="1343" t="str">
        <f t="shared" si="11"/>
        <v>市政基础设施</v>
      </c>
      <c r="R37" s="701" t="s">
        <v>14</v>
      </c>
      <c r="S37" s="702">
        <f t="shared" si="12"/>
        <v>100</v>
      </c>
      <c r="T37" s="701" t="s">
        <v>14</v>
      </c>
      <c r="U37" s="702">
        <f t="shared" si="13"/>
        <v>100</v>
      </c>
      <c r="V37" s="701" t="s">
        <v>14</v>
      </c>
      <c r="W37" s="702">
        <f t="shared" si="14"/>
        <v>100</v>
      </c>
      <c r="X37" s="703"/>
      <c r="Y37" s="378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84" t="s">
        <v>1696</v>
      </c>
      <c r="Q38" s="1352" t="str">
        <f t="shared" si="11"/>
        <v>业态</v>
      </c>
      <c r="R38" s="705" t="s">
        <v>14</v>
      </c>
      <c r="S38" s="706">
        <f t="shared" si="12"/>
        <v>100</v>
      </c>
      <c r="T38" s="705" t="s">
        <v>14</v>
      </c>
      <c r="U38" s="706">
        <f t="shared" si="13"/>
        <v>100</v>
      </c>
      <c r="V38" s="705" t="s">
        <v>14</v>
      </c>
      <c r="W38" s="706">
        <f t="shared" si="14"/>
        <v>100</v>
      </c>
      <c r="X38" s="1355"/>
      <c r="Y38" s="378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84"/>
      <c r="Q39" s="1352" t="str">
        <f t="shared" si="11"/>
        <v>层高</v>
      </c>
      <c r="R39" s="705" t="s">
        <v>14</v>
      </c>
      <c r="S39" s="706">
        <f t="shared" si="12"/>
        <v>100</v>
      </c>
      <c r="T39" s="705" t="s">
        <v>14</v>
      </c>
      <c r="U39" s="706">
        <f t="shared" si="13"/>
        <v>100</v>
      </c>
      <c r="V39" s="705" t="s">
        <v>14</v>
      </c>
      <c r="W39" s="706">
        <f t="shared" si="14"/>
        <v>100</v>
      </c>
      <c r="X39" s="1355"/>
      <c r="Y39" s="37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84"/>
      <c r="Q40" s="1352" t="str">
        <f t="shared" si="11"/>
        <v>单套建筑面积</v>
      </c>
      <c r="R40" s="705" t="s">
        <v>14</v>
      </c>
      <c r="S40" s="706">
        <f t="shared" si="12"/>
        <v>100</v>
      </c>
      <c r="T40" s="705" t="s">
        <v>14</v>
      </c>
      <c r="U40" s="706">
        <f t="shared" si="13"/>
        <v>100</v>
      </c>
      <c r="V40" s="705" t="s">
        <v>14</v>
      </c>
      <c r="W40" s="706">
        <f t="shared" si="14"/>
        <v>100</v>
      </c>
      <c r="X40" s="1355"/>
      <c r="Y40" s="37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84"/>
      <c r="Q41" s="707" t="str">
        <f t="shared" si="11"/>
        <v>进深比</v>
      </c>
      <c r="R41" s="708" t="s">
        <v>14</v>
      </c>
      <c r="S41" s="709">
        <f t="shared" si="12"/>
        <v>100</v>
      </c>
      <c r="T41" s="708" t="s">
        <v>14</v>
      </c>
      <c r="U41" s="709">
        <f t="shared" si="13"/>
        <v>100</v>
      </c>
      <c r="V41" s="708" t="s">
        <v>14</v>
      </c>
      <c r="W41" s="709">
        <f t="shared" si="14"/>
        <v>100</v>
      </c>
      <c r="X41" s="710"/>
      <c r="Y41" s="378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84"/>
      <c r="Q42" s="1352" t="str">
        <f t="shared" si="11"/>
        <v>内部装修</v>
      </c>
      <c r="R42" s="705" t="s">
        <v>14</v>
      </c>
      <c r="S42" s="706">
        <f t="shared" si="12"/>
        <v>100</v>
      </c>
      <c r="T42" s="705" t="s">
        <v>14</v>
      </c>
      <c r="U42" s="706">
        <f t="shared" si="13"/>
        <v>100</v>
      </c>
      <c r="V42" s="705" t="s">
        <v>14</v>
      </c>
      <c r="W42" s="706">
        <f t="shared" si="14"/>
        <v>100</v>
      </c>
      <c r="X42" s="1355"/>
      <c r="Y42" s="378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84"/>
      <c r="Q43" s="1352" t="str">
        <f t="shared" si="11"/>
        <v>内部装修维护情况</v>
      </c>
      <c r="R43" s="705" t="s">
        <v>14</v>
      </c>
      <c r="S43" s="706">
        <f t="shared" si="12"/>
        <v>100</v>
      </c>
      <c r="T43" s="705" t="s">
        <v>14</v>
      </c>
      <c r="U43" s="706">
        <f t="shared" si="13"/>
        <v>100</v>
      </c>
      <c r="V43" s="705" t="s">
        <v>14</v>
      </c>
      <c r="W43" s="706">
        <f t="shared" si="14"/>
        <v>100</v>
      </c>
      <c r="X43" s="1355"/>
      <c r="Y43" s="37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84"/>
      <c r="Q44" s="1343">
        <f t="shared" si="11"/>
        <v>111</v>
      </c>
      <c r="R44" s="701" t="s">
        <v>14</v>
      </c>
      <c r="S44" s="702">
        <f t="shared" si="12"/>
        <v>100</v>
      </c>
      <c r="T44" s="701" t="s">
        <v>14</v>
      </c>
      <c r="U44" s="702">
        <f t="shared" si="13"/>
        <v>100</v>
      </c>
      <c r="V44" s="701" t="s">
        <v>14</v>
      </c>
      <c r="W44" s="702">
        <f t="shared" si="14"/>
        <v>100</v>
      </c>
      <c r="X44" s="703"/>
      <c r="Y44" s="37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84"/>
      <c r="Q45" s="1352">
        <f t="shared" si="11"/>
        <v>111</v>
      </c>
      <c r="R45" s="705" t="s">
        <v>14</v>
      </c>
      <c r="S45" s="706">
        <f t="shared" si="12"/>
        <v>100</v>
      </c>
      <c r="T45" s="705" t="s">
        <v>14</v>
      </c>
      <c r="U45" s="706">
        <f t="shared" si="13"/>
        <v>100</v>
      </c>
      <c r="V45" s="705" t="s">
        <v>14</v>
      </c>
      <c r="W45" s="706">
        <f t="shared" si="14"/>
        <v>100</v>
      </c>
      <c r="X45" s="1355"/>
      <c r="Y45" s="378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85"/>
      <c r="Q46" s="1352">
        <f t="shared" si="11"/>
        <v>111</v>
      </c>
      <c r="R46" s="705" t="s">
        <v>14</v>
      </c>
      <c r="S46" s="706">
        <f t="shared" si="12"/>
        <v>100</v>
      </c>
      <c r="T46" s="705" t="s">
        <v>14</v>
      </c>
      <c r="U46" s="706">
        <f t="shared" si="13"/>
        <v>100</v>
      </c>
      <c r="V46" s="705" t="s">
        <v>14</v>
      </c>
      <c r="W46" s="706">
        <f t="shared" si="14"/>
        <v>100</v>
      </c>
      <c r="X46" s="1355"/>
      <c r="Y46" s="378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79" t="str">
        <f>A47</f>
        <v>成交单价（元/平方米）</v>
      </c>
      <c r="Q47" s="3779"/>
      <c r="R47" s="3774">
        <f>E47</f>
        <v>0</v>
      </c>
      <c r="S47" s="3774"/>
      <c r="T47" s="3774">
        <f>G47</f>
        <v>0</v>
      </c>
      <c r="U47" s="3774"/>
      <c r="V47" s="3774">
        <f>I47</f>
        <v>0</v>
      </c>
      <c r="W47" s="377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79" t="str">
        <f>A48</f>
        <v>比较价值（元/平方米）</v>
      </c>
      <c r="Q48" s="3779"/>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62" t="s">
        <v>1770</v>
      </c>
      <c r="D4" s="3763"/>
      <c r="E4" s="3764" t="s">
        <v>1771</v>
      </c>
      <c r="F4" s="3765"/>
      <c r="G4" s="3762" t="s">
        <v>1772</v>
      </c>
      <c r="H4" s="3763"/>
      <c r="I4" s="3762" t="s">
        <v>1773</v>
      </c>
      <c r="J4" s="3763"/>
      <c r="K4" s="559" t="s">
        <v>1774</v>
      </c>
      <c r="L4" s="2715"/>
      <c r="M4" s="2716"/>
      <c r="N4" s="2716"/>
      <c r="O4" s="2716"/>
      <c r="P4" s="3796" t="s">
        <v>1775</v>
      </c>
      <c r="Q4" s="3797"/>
      <c r="R4" s="3791" t="s">
        <v>1771</v>
      </c>
      <c r="S4" s="3792"/>
      <c r="T4" s="3791" t="s">
        <v>1772</v>
      </c>
      <c r="U4" s="3792"/>
      <c r="V4" s="3800" t="s">
        <v>1773</v>
      </c>
      <c r="W4" s="3800"/>
      <c r="X4" s="1958"/>
      <c r="Y4" s="3791" t="s">
        <v>1775</v>
      </c>
      <c r="Z4" s="3792"/>
      <c r="AA4" s="3790" t="s">
        <v>1771</v>
      </c>
      <c r="AB4" s="3790" t="s">
        <v>1772</v>
      </c>
      <c r="AC4" s="3793" t="s">
        <v>1773</v>
      </c>
    </row>
    <row r="5" spans="1:29">
      <c r="A5" s="358"/>
      <c r="B5" s="359"/>
      <c r="C5" s="3755" t="s">
        <v>1673</v>
      </c>
      <c r="D5" s="3756"/>
      <c r="E5" s="3753" t="s">
        <v>1674</v>
      </c>
      <c r="F5" s="3754"/>
      <c r="G5" s="3755" t="s">
        <v>1675</v>
      </c>
      <c r="H5" s="3756"/>
      <c r="I5" s="3755" t="s">
        <v>1676</v>
      </c>
      <c r="J5" s="3756"/>
      <c r="K5" s="559"/>
      <c r="L5" s="2715"/>
      <c r="M5" s="2716"/>
      <c r="N5" s="2716"/>
      <c r="O5" s="2716"/>
      <c r="P5" s="3798"/>
      <c r="Q5" s="3769"/>
      <c r="R5" s="3751"/>
      <c r="S5" s="3752"/>
      <c r="T5" s="3751"/>
      <c r="U5" s="3752"/>
      <c r="V5" s="3774"/>
      <c r="W5" s="3774"/>
      <c r="X5" s="1355"/>
      <c r="Y5" s="3751"/>
      <c r="Z5" s="3752"/>
      <c r="AA5" s="3745"/>
      <c r="AB5" s="3745"/>
      <c r="AC5" s="3794"/>
    </row>
    <row r="6" spans="1:29" ht="15" thickBot="1">
      <c r="A6" s="360"/>
      <c r="B6" s="361"/>
      <c r="C6" s="3757" t="s">
        <v>1677</v>
      </c>
      <c r="D6" s="3758"/>
      <c r="E6" s="3759" t="s">
        <v>1677</v>
      </c>
      <c r="F6" s="3760"/>
      <c r="G6" s="3757" t="s">
        <v>1677</v>
      </c>
      <c r="H6" s="3758"/>
      <c r="I6" s="3757" t="s">
        <v>1677</v>
      </c>
      <c r="J6" s="3758"/>
      <c r="K6" s="559" t="s">
        <v>1678</v>
      </c>
      <c r="L6" s="2715"/>
      <c r="M6" s="2716"/>
      <c r="N6" s="2716"/>
      <c r="O6" s="2716"/>
      <c r="P6" s="3799"/>
      <c r="Q6" s="3771"/>
      <c r="R6" s="3751"/>
      <c r="S6" s="3752"/>
      <c r="T6" s="3772"/>
      <c r="U6" s="3773"/>
      <c r="V6" s="3774"/>
      <c r="W6" s="3774"/>
      <c r="X6" s="1355"/>
      <c r="Y6" s="3772"/>
      <c r="Z6" s="3773"/>
      <c r="AA6" s="3746"/>
      <c r="AB6" s="3746"/>
      <c r="AC6" s="3795"/>
    </row>
    <row r="7" spans="1:29" s="108" customFormat="1" ht="15" thickBot="1">
      <c r="A7" s="362" t="s">
        <v>1679</v>
      </c>
      <c r="B7" s="363"/>
      <c r="C7" s="364">
        <f>'数据-取费表'!B2</f>
        <v>45680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01" t="s">
        <v>1680</v>
      </c>
      <c r="Q7" s="3775"/>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01"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61"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61"/>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61"/>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61"/>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61"/>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61"/>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88" t="s">
        <v>1691</v>
      </c>
      <c r="Q15" s="1352" t="str">
        <f t="shared" si="6"/>
        <v>办公集聚程度</v>
      </c>
      <c r="R15" s="705" t="s">
        <v>14</v>
      </c>
      <c r="S15" s="706">
        <f t="shared" si="0"/>
        <v>100</v>
      </c>
      <c r="T15" s="705" t="s">
        <v>14</v>
      </c>
      <c r="U15" s="706">
        <f t="shared" si="1"/>
        <v>100</v>
      </c>
      <c r="V15" s="705" t="s">
        <v>14</v>
      </c>
      <c r="W15" s="706">
        <f t="shared" si="2"/>
        <v>100</v>
      </c>
      <c r="X15" s="1355"/>
      <c r="Y15" s="378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9"/>
      <c r="Q16" s="1352"/>
      <c r="R16" s="705"/>
      <c r="S16" s="706"/>
      <c r="T16" s="705"/>
      <c r="U16" s="706"/>
      <c r="V16" s="705"/>
      <c r="W16" s="706"/>
      <c r="X16" s="1355"/>
      <c r="Y16" s="378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9"/>
      <c r="Q17" s="1352" t="str">
        <f>B17</f>
        <v>交通便捷度</v>
      </c>
      <c r="R17" s="705" t="s">
        <v>14</v>
      </c>
      <c r="S17" s="706">
        <f>F17</f>
        <v>100</v>
      </c>
      <c r="T17" s="705" t="s">
        <v>14</v>
      </c>
      <c r="U17" s="706">
        <f>H17</f>
        <v>100</v>
      </c>
      <c r="V17" s="705" t="s">
        <v>14</v>
      </c>
      <c r="W17" s="706">
        <f>J17</f>
        <v>100</v>
      </c>
      <c r="X17" s="1355"/>
      <c r="Y17" s="378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9"/>
      <c r="Q18" s="1352"/>
      <c r="R18" s="705"/>
      <c r="S18" s="706"/>
      <c r="T18" s="705"/>
      <c r="U18" s="706"/>
      <c r="V18" s="705"/>
      <c r="W18" s="706"/>
      <c r="X18" s="1355"/>
      <c r="Y18" s="378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9"/>
      <c r="Q19" s="1352" t="str">
        <f>B19</f>
        <v>公共配套设施</v>
      </c>
      <c r="R19" s="705" t="s">
        <v>14</v>
      </c>
      <c r="S19" s="706">
        <f>F19</f>
        <v>100</v>
      </c>
      <c r="T19" s="705" t="s">
        <v>14</v>
      </c>
      <c r="U19" s="706">
        <f>H19</f>
        <v>100</v>
      </c>
      <c r="V19" s="705" t="s">
        <v>14</v>
      </c>
      <c r="W19" s="706">
        <f>J19</f>
        <v>100</v>
      </c>
      <c r="X19" s="1355"/>
      <c r="Y19" s="378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9"/>
      <c r="Q20" s="1352"/>
      <c r="R20" s="705"/>
      <c r="S20" s="706"/>
      <c r="T20" s="705"/>
      <c r="U20" s="706"/>
      <c r="V20" s="705"/>
      <c r="W20" s="706"/>
      <c r="X20" s="1355"/>
      <c r="Y20" s="378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8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9"/>
      <c r="Q22" s="1352"/>
      <c r="R22" s="705"/>
      <c r="S22" s="706"/>
      <c r="T22" s="705"/>
      <c r="U22" s="706"/>
      <c r="V22" s="705"/>
      <c r="W22" s="706"/>
      <c r="X22" s="1355"/>
      <c r="Y22" s="378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9"/>
      <c r="Q23" s="1352" t="str">
        <f>B23</f>
        <v>环境质量</v>
      </c>
      <c r="R23" s="705" t="s">
        <v>14</v>
      </c>
      <c r="S23" s="706">
        <f>F23</f>
        <v>100</v>
      </c>
      <c r="T23" s="705" t="s">
        <v>14</v>
      </c>
      <c r="U23" s="706">
        <f>H23</f>
        <v>100</v>
      </c>
      <c r="V23" s="705" t="s">
        <v>14</v>
      </c>
      <c r="W23" s="706">
        <f>J23</f>
        <v>100</v>
      </c>
      <c r="X23" s="1355"/>
      <c r="Y23" s="378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9"/>
      <c r="Q24" s="1352"/>
      <c r="R24" s="705"/>
      <c r="S24" s="706"/>
      <c r="T24" s="705"/>
      <c r="U24" s="706"/>
      <c r="V24" s="705"/>
      <c r="W24" s="706"/>
      <c r="X24" s="1355"/>
      <c r="Y24" s="378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9"/>
      <c r="Q25" s="1352" t="str">
        <f>B25</f>
        <v>毗邻道路的类型与等级</v>
      </c>
      <c r="R25" s="705" t="s">
        <v>14</v>
      </c>
      <c r="S25" s="706">
        <f>F25</f>
        <v>100</v>
      </c>
      <c r="T25" s="705" t="s">
        <v>14</v>
      </c>
      <c r="U25" s="706">
        <f>H25</f>
        <v>100</v>
      </c>
      <c r="V25" s="705" t="s">
        <v>14</v>
      </c>
      <c r="W25" s="706">
        <f>J25</f>
        <v>100</v>
      </c>
      <c r="X25" s="1355"/>
      <c r="Y25" s="378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9"/>
      <c r="Q26" s="1352"/>
      <c r="R26" s="705"/>
      <c r="S26" s="706"/>
      <c r="T26" s="705"/>
      <c r="U26" s="706"/>
      <c r="V26" s="705"/>
      <c r="W26" s="706"/>
      <c r="X26" s="1355"/>
      <c r="Y26" s="378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9"/>
      <c r="Q27" s="1352" t="str">
        <f t="shared" ref="Q27:Q47" si="11">B27</f>
        <v>楼层</v>
      </c>
      <c r="R27" s="705" t="s">
        <v>14</v>
      </c>
      <c r="S27" s="706">
        <f>F27</f>
        <v>100</v>
      </c>
      <c r="T27" s="705" t="s">
        <v>14</v>
      </c>
      <c r="U27" s="706">
        <f>H27</f>
        <v>100</v>
      </c>
      <c r="V27" s="705" t="s">
        <v>14</v>
      </c>
      <c r="W27" s="706">
        <f>J27</f>
        <v>100</v>
      </c>
      <c r="X27" s="1355"/>
      <c r="Y27" s="378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9"/>
      <c r="Q28" s="1343" t="str">
        <f t="shared" si="11"/>
        <v>朝向</v>
      </c>
      <c r="R28" s="701" t="s">
        <v>14</v>
      </c>
      <c r="S28" s="702">
        <f>F28</f>
        <v>100</v>
      </c>
      <c r="T28" s="701" t="s">
        <v>14</v>
      </c>
      <c r="U28" s="702">
        <f>H28</f>
        <v>100</v>
      </c>
      <c r="V28" s="701" t="s">
        <v>14</v>
      </c>
      <c r="W28" s="702">
        <f>J28</f>
        <v>100</v>
      </c>
      <c r="X28" s="703"/>
      <c r="Y28" s="37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9"/>
      <c r="Q29" s="1352">
        <f t="shared" si="11"/>
        <v>111</v>
      </c>
      <c r="R29" s="705" t="s">
        <v>14</v>
      </c>
      <c r="S29" s="706">
        <f t="shared" ref="S29:S47" si="12">F29</f>
        <v>100</v>
      </c>
      <c r="T29" s="705" t="s">
        <v>14</v>
      </c>
      <c r="U29" s="706">
        <f t="shared" ref="U29:U47" si="13">H29</f>
        <v>100</v>
      </c>
      <c r="V29" s="705" t="s">
        <v>14</v>
      </c>
      <c r="W29" s="706">
        <f t="shared" ref="W29:W47" si="14">J29</f>
        <v>100</v>
      </c>
      <c r="X29" s="1355"/>
      <c r="Y29" s="37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9"/>
      <c r="Q30" s="1352">
        <f t="shared" si="11"/>
        <v>111</v>
      </c>
      <c r="R30" s="705" t="s">
        <v>14</v>
      </c>
      <c r="S30" s="706">
        <f t="shared" si="12"/>
        <v>100</v>
      </c>
      <c r="T30" s="705" t="s">
        <v>14</v>
      </c>
      <c r="U30" s="706">
        <f t="shared" si="13"/>
        <v>100</v>
      </c>
      <c r="V30" s="705" t="s">
        <v>14</v>
      </c>
      <c r="W30" s="706">
        <f t="shared" si="14"/>
        <v>100</v>
      </c>
      <c r="X30" s="1355"/>
      <c r="Y30" s="37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9"/>
      <c r="Q31" s="1352">
        <f t="shared" si="11"/>
        <v>111</v>
      </c>
      <c r="R31" s="705" t="s">
        <v>14</v>
      </c>
      <c r="S31" s="706">
        <f t="shared" si="12"/>
        <v>100</v>
      </c>
      <c r="T31" s="705" t="s">
        <v>14</v>
      </c>
      <c r="U31" s="706">
        <f t="shared" si="13"/>
        <v>100</v>
      </c>
      <c r="V31" s="705" t="s">
        <v>14</v>
      </c>
      <c r="W31" s="706">
        <f t="shared" si="14"/>
        <v>100</v>
      </c>
      <c r="X31" s="1355"/>
      <c r="Y31" s="378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9"/>
      <c r="Q32" s="1352">
        <f t="shared" si="11"/>
        <v>111</v>
      </c>
      <c r="R32" s="705" t="s">
        <v>14</v>
      </c>
      <c r="S32" s="706">
        <f t="shared" si="12"/>
        <v>100</v>
      </c>
      <c r="T32" s="705" t="s">
        <v>14</v>
      </c>
      <c r="U32" s="706">
        <f t="shared" si="13"/>
        <v>100</v>
      </c>
      <c r="V32" s="705" t="s">
        <v>14</v>
      </c>
      <c r="W32" s="706">
        <f t="shared" si="14"/>
        <v>100</v>
      </c>
      <c r="X32" s="1355"/>
      <c r="Y32" s="378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3" t="s">
        <v>1696</v>
      </c>
      <c r="Q33" s="1352" t="str">
        <f t="shared" si="11"/>
        <v>建筑类型</v>
      </c>
      <c r="R33" s="705" t="s">
        <v>14</v>
      </c>
      <c r="S33" s="706">
        <f t="shared" si="12"/>
        <v>100</v>
      </c>
      <c r="T33" s="705" t="s">
        <v>14</v>
      </c>
      <c r="U33" s="706">
        <f t="shared" si="13"/>
        <v>100</v>
      </c>
      <c r="V33" s="705" t="s">
        <v>14</v>
      </c>
      <c r="W33" s="706">
        <f t="shared" si="14"/>
        <v>100</v>
      </c>
      <c r="X33" s="1355"/>
      <c r="Y33" s="378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84"/>
      <c r="Q34" s="707" t="str">
        <f t="shared" si="11"/>
        <v>项目建筑规模</v>
      </c>
      <c r="R34" s="708" t="s">
        <v>14</v>
      </c>
      <c r="S34" s="709" t="e">
        <f t="shared" si="12"/>
        <v>#N/A</v>
      </c>
      <c r="T34" s="708" t="s">
        <v>14</v>
      </c>
      <c r="U34" s="709" t="e">
        <f t="shared" si="13"/>
        <v>#N/A</v>
      </c>
      <c r="V34" s="708" t="s">
        <v>14</v>
      </c>
      <c r="W34" s="709" t="e">
        <f t="shared" si="14"/>
        <v>#N/A</v>
      </c>
      <c r="X34" s="710"/>
      <c r="Y34" s="378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84"/>
      <c r="Q35" s="1352" t="str">
        <f t="shared" si="11"/>
        <v>建筑结构</v>
      </c>
      <c r="R35" s="705" t="s">
        <v>14</v>
      </c>
      <c r="S35" s="706">
        <f t="shared" si="12"/>
        <v>100</v>
      </c>
      <c r="T35" s="705" t="s">
        <v>14</v>
      </c>
      <c r="U35" s="706">
        <f t="shared" si="13"/>
        <v>100</v>
      </c>
      <c r="V35" s="705" t="s">
        <v>14</v>
      </c>
      <c r="W35" s="706">
        <f t="shared" si="14"/>
        <v>100</v>
      </c>
      <c r="X35" s="1355"/>
      <c r="Y35" s="378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84"/>
      <c r="Q36" s="1352" t="str">
        <f t="shared" si="11"/>
        <v>公共部分装修</v>
      </c>
      <c r="R36" s="705" t="s">
        <v>14</v>
      </c>
      <c r="S36" s="706">
        <f t="shared" si="12"/>
        <v>100</v>
      </c>
      <c r="T36" s="705" t="s">
        <v>14</v>
      </c>
      <c r="U36" s="706">
        <f t="shared" si="13"/>
        <v>100</v>
      </c>
      <c r="V36" s="705" t="s">
        <v>14</v>
      </c>
      <c r="W36" s="706">
        <f t="shared" si="14"/>
        <v>100</v>
      </c>
      <c r="X36" s="1355"/>
      <c r="Y36" s="378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84"/>
      <c r="Q37" s="1352" t="str">
        <f t="shared" si="11"/>
        <v>成新度</v>
      </c>
      <c r="R37" s="705" t="s">
        <v>14</v>
      </c>
      <c r="S37" s="706" t="e">
        <f t="shared" si="12"/>
        <v>#N/A</v>
      </c>
      <c r="T37" s="705" t="s">
        <v>14</v>
      </c>
      <c r="U37" s="706" t="e">
        <f t="shared" si="13"/>
        <v>#N/A</v>
      </c>
      <c r="V37" s="705" t="s">
        <v>14</v>
      </c>
      <c r="W37" s="706" t="e">
        <f t="shared" si="14"/>
        <v>#N/A</v>
      </c>
      <c r="X37" s="1355"/>
      <c r="Y37" s="378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84"/>
      <c r="Q38" s="1343" t="str">
        <f t="shared" si="11"/>
        <v>写字楼等级</v>
      </c>
      <c r="R38" s="701" t="s">
        <v>14</v>
      </c>
      <c r="S38" s="702">
        <f t="shared" si="12"/>
        <v>100</v>
      </c>
      <c r="T38" s="701" t="s">
        <v>14</v>
      </c>
      <c r="U38" s="702">
        <f t="shared" si="13"/>
        <v>100</v>
      </c>
      <c r="V38" s="701" t="s">
        <v>14</v>
      </c>
      <c r="W38" s="702">
        <f t="shared" si="14"/>
        <v>100</v>
      </c>
      <c r="X38" s="703"/>
      <c r="Y38" s="378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84" t="s">
        <v>1696</v>
      </c>
      <c r="Q39" s="1352" t="str">
        <f t="shared" si="11"/>
        <v>物业管理</v>
      </c>
      <c r="R39" s="705" t="s">
        <v>14</v>
      </c>
      <c r="S39" s="706">
        <f t="shared" si="12"/>
        <v>100</v>
      </c>
      <c r="T39" s="705" t="s">
        <v>14</v>
      </c>
      <c r="U39" s="706">
        <f t="shared" si="13"/>
        <v>100</v>
      </c>
      <c r="V39" s="705" t="s">
        <v>14</v>
      </c>
      <c r="W39" s="706">
        <f t="shared" si="14"/>
        <v>100</v>
      </c>
      <c r="X39" s="1355"/>
      <c r="Y39" s="378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84"/>
      <c r="Q40" s="1352" t="str">
        <f t="shared" si="11"/>
        <v>市政基础设施</v>
      </c>
      <c r="R40" s="705" t="s">
        <v>14</v>
      </c>
      <c r="S40" s="706">
        <f t="shared" si="12"/>
        <v>100</v>
      </c>
      <c r="T40" s="705" t="s">
        <v>14</v>
      </c>
      <c r="U40" s="706">
        <f t="shared" si="13"/>
        <v>100</v>
      </c>
      <c r="V40" s="705" t="s">
        <v>14</v>
      </c>
      <c r="W40" s="706">
        <f t="shared" si="14"/>
        <v>100</v>
      </c>
      <c r="X40" s="1355"/>
      <c r="Y40" s="378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84"/>
      <c r="Q41" s="1352" t="str">
        <f t="shared" si="11"/>
        <v>层高</v>
      </c>
      <c r="R41" s="705" t="s">
        <v>14</v>
      </c>
      <c r="S41" s="706">
        <f t="shared" si="12"/>
        <v>100</v>
      </c>
      <c r="T41" s="705" t="s">
        <v>14</v>
      </c>
      <c r="U41" s="706">
        <f t="shared" si="13"/>
        <v>100</v>
      </c>
      <c r="V41" s="705" t="s">
        <v>14</v>
      </c>
      <c r="W41" s="706">
        <f t="shared" si="14"/>
        <v>100</v>
      </c>
      <c r="X41" s="1355"/>
      <c r="Y41" s="378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84"/>
      <c r="Q42" s="707" t="str">
        <f t="shared" si="11"/>
        <v>单套建筑面积</v>
      </c>
      <c r="R42" s="708" t="s">
        <v>14</v>
      </c>
      <c r="S42" s="709">
        <f t="shared" si="12"/>
        <v>100</v>
      </c>
      <c r="T42" s="708" t="s">
        <v>14</v>
      </c>
      <c r="U42" s="709">
        <f t="shared" si="13"/>
        <v>100</v>
      </c>
      <c r="V42" s="708" t="s">
        <v>14</v>
      </c>
      <c r="W42" s="709">
        <f t="shared" si="14"/>
        <v>100</v>
      </c>
      <c r="X42" s="710"/>
      <c r="Y42" s="378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84"/>
      <c r="Q43" s="1352" t="str">
        <f t="shared" si="11"/>
        <v>内部装修</v>
      </c>
      <c r="R43" s="705" t="s">
        <v>14</v>
      </c>
      <c r="S43" s="706">
        <f t="shared" si="12"/>
        <v>100</v>
      </c>
      <c r="T43" s="705" t="s">
        <v>14</v>
      </c>
      <c r="U43" s="706">
        <f t="shared" si="13"/>
        <v>100</v>
      </c>
      <c r="V43" s="705" t="s">
        <v>14</v>
      </c>
      <c r="W43" s="706">
        <f t="shared" si="14"/>
        <v>100</v>
      </c>
      <c r="X43" s="1355"/>
      <c r="Y43" s="378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84"/>
      <c r="Q44" s="1352" t="str">
        <f t="shared" si="11"/>
        <v>内部装修维护情况</v>
      </c>
      <c r="R44" s="705" t="s">
        <v>14</v>
      </c>
      <c r="S44" s="706">
        <f t="shared" si="12"/>
        <v>100</v>
      </c>
      <c r="T44" s="705" t="s">
        <v>14</v>
      </c>
      <c r="U44" s="706">
        <f t="shared" si="13"/>
        <v>100</v>
      </c>
      <c r="V44" s="705" t="s">
        <v>14</v>
      </c>
      <c r="W44" s="706">
        <f t="shared" si="14"/>
        <v>100</v>
      </c>
      <c r="X44" s="1355"/>
      <c r="Y44" s="378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84"/>
      <c r="Q45" s="1343">
        <f t="shared" si="11"/>
        <v>111</v>
      </c>
      <c r="R45" s="701" t="s">
        <v>14</v>
      </c>
      <c r="S45" s="702">
        <f t="shared" si="12"/>
        <v>100</v>
      </c>
      <c r="T45" s="701" t="s">
        <v>14</v>
      </c>
      <c r="U45" s="702">
        <f t="shared" si="13"/>
        <v>100</v>
      </c>
      <c r="V45" s="701" t="s">
        <v>14</v>
      </c>
      <c r="W45" s="702">
        <f t="shared" si="14"/>
        <v>100</v>
      </c>
      <c r="X45" s="703"/>
      <c r="Y45" s="378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84"/>
      <c r="Q46" s="1352">
        <f t="shared" si="11"/>
        <v>111</v>
      </c>
      <c r="R46" s="705" t="s">
        <v>14</v>
      </c>
      <c r="S46" s="706">
        <f t="shared" si="12"/>
        <v>100</v>
      </c>
      <c r="T46" s="705" t="s">
        <v>14</v>
      </c>
      <c r="U46" s="706">
        <f t="shared" si="13"/>
        <v>100</v>
      </c>
      <c r="V46" s="705" t="s">
        <v>14</v>
      </c>
      <c r="W46" s="706">
        <f t="shared" si="14"/>
        <v>100</v>
      </c>
      <c r="X46" s="1355"/>
      <c r="Y46" s="378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85"/>
      <c r="Q47" s="1352">
        <f t="shared" si="11"/>
        <v>111</v>
      </c>
      <c r="R47" s="705" t="s">
        <v>14</v>
      </c>
      <c r="S47" s="706">
        <f t="shared" si="12"/>
        <v>100</v>
      </c>
      <c r="T47" s="705" t="s">
        <v>14</v>
      </c>
      <c r="U47" s="706">
        <f t="shared" si="13"/>
        <v>100</v>
      </c>
      <c r="V47" s="705" t="s">
        <v>14</v>
      </c>
      <c r="W47" s="706">
        <f t="shared" si="14"/>
        <v>100</v>
      </c>
      <c r="X47" s="1355"/>
      <c r="Y47" s="378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61" t="str">
        <f>A48</f>
        <v>成交单价（元/平方米）</v>
      </c>
      <c r="Q48" s="3779"/>
      <c r="R48" s="3780">
        <f>E48</f>
        <v>0</v>
      </c>
      <c r="S48" s="3780"/>
      <c r="T48" s="3780">
        <f>G48</f>
        <v>0</v>
      </c>
      <c r="U48" s="3780"/>
      <c r="V48" s="3780">
        <f>I48</f>
        <v>0</v>
      </c>
      <c r="W48" s="378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61" t="str">
        <f>A49</f>
        <v>比较价值（元/平方米）</v>
      </c>
      <c r="Q49" s="3779"/>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2464.7399999999998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913"/>
      <c r="M4" s="914"/>
      <c r="N4" s="914"/>
      <c r="O4" s="914"/>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53" t="s">
        <v>1674</v>
      </c>
      <c r="F5" s="3754"/>
      <c r="G5" s="3755" t="s">
        <v>1675</v>
      </c>
      <c r="H5" s="3756"/>
      <c r="I5" s="3755" t="s">
        <v>1676</v>
      </c>
      <c r="J5" s="3756"/>
      <c r="K5" s="559"/>
      <c r="L5" s="913"/>
      <c r="M5" s="914"/>
      <c r="N5" s="914"/>
      <c r="O5" s="914"/>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559" t="s">
        <v>1678</v>
      </c>
      <c r="L6" s="913"/>
      <c r="M6" s="914"/>
      <c r="N6" s="914"/>
      <c r="O6" s="914"/>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45680</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75"/>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9"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79"/>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9"/>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9"/>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9"/>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9"/>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1" t="s">
        <v>1691</v>
      </c>
      <c r="Q15" s="1352" t="str">
        <f t="shared" si="6"/>
        <v>产业集聚程度</v>
      </c>
      <c r="R15" s="705" t="s">
        <v>14</v>
      </c>
      <c r="S15" s="706">
        <f t="shared" si="0"/>
        <v>100</v>
      </c>
      <c r="T15" s="705" t="s">
        <v>14</v>
      </c>
      <c r="U15" s="706">
        <f t="shared" si="1"/>
        <v>100</v>
      </c>
      <c r="V15" s="705" t="s">
        <v>14</v>
      </c>
      <c r="W15" s="706">
        <f t="shared" si="2"/>
        <v>100</v>
      </c>
      <c r="X15" s="1355"/>
      <c r="Y15" s="37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2"/>
      <c r="Q16" s="1352"/>
      <c r="R16" s="705"/>
      <c r="S16" s="706"/>
      <c r="T16" s="705"/>
      <c r="U16" s="706"/>
      <c r="V16" s="705"/>
      <c r="W16" s="706"/>
      <c r="X16" s="1355"/>
      <c r="Y16" s="378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2"/>
      <c r="Q17" s="1352" t="str">
        <f>B17</f>
        <v>交通便捷度</v>
      </c>
      <c r="R17" s="705" t="s">
        <v>14</v>
      </c>
      <c r="S17" s="706">
        <f>F17</f>
        <v>100</v>
      </c>
      <c r="T17" s="705" t="s">
        <v>14</v>
      </c>
      <c r="U17" s="706">
        <f>H17</f>
        <v>100</v>
      </c>
      <c r="V17" s="705" t="s">
        <v>14</v>
      </c>
      <c r="W17" s="706">
        <f>J17</f>
        <v>100</v>
      </c>
      <c r="X17" s="1355"/>
      <c r="Y17" s="37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2"/>
      <c r="Q18" s="1352"/>
      <c r="R18" s="705"/>
      <c r="S18" s="706"/>
      <c r="T18" s="705"/>
      <c r="U18" s="706"/>
      <c r="V18" s="705"/>
      <c r="W18" s="706"/>
      <c r="X18" s="1355"/>
      <c r="Y18" s="378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2"/>
      <c r="Q19" s="1352" t="str">
        <f>B19</f>
        <v>公共配套设施</v>
      </c>
      <c r="R19" s="705" t="s">
        <v>14</v>
      </c>
      <c r="S19" s="706">
        <f>F19</f>
        <v>100</v>
      </c>
      <c r="T19" s="705" t="s">
        <v>14</v>
      </c>
      <c r="U19" s="706">
        <f>H19</f>
        <v>100</v>
      </c>
      <c r="V19" s="705" t="s">
        <v>14</v>
      </c>
      <c r="W19" s="706">
        <f>J19</f>
        <v>100</v>
      </c>
      <c r="X19" s="1355"/>
      <c r="Y19" s="37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2"/>
      <c r="Q20" s="1352"/>
      <c r="R20" s="705"/>
      <c r="S20" s="706"/>
      <c r="T20" s="705"/>
      <c r="U20" s="706"/>
      <c r="V20" s="705"/>
      <c r="W20" s="706"/>
      <c r="X20" s="1355"/>
      <c r="Y20" s="378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2"/>
      <c r="Q21" s="1352" t="str">
        <f>B21</f>
        <v>基础设施水平</v>
      </c>
      <c r="R21" s="705" t="s">
        <v>14</v>
      </c>
      <c r="S21" s="706">
        <f>F21</f>
        <v>100</v>
      </c>
      <c r="T21" s="705" t="s">
        <v>14</v>
      </c>
      <c r="U21" s="706">
        <f>H21</f>
        <v>100</v>
      </c>
      <c r="V21" s="705" t="s">
        <v>14</v>
      </c>
      <c r="W21" s="706">
        <f>J21</f>
        <v>100</v>
      </c>
      <c r="X21" s="1355"/>
      <c r="Y21" s="37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2"/>
      <c r="Q22" s="1352"/>
      <c r="R22" s="705"/>
      <c r="S22" s="706"/>
      <c r="T22" s="705"/>
      <c r="U22" s="706"/>
      <c r="V22" s="705"/>
      <c r="W22" s="706"/>
      <c r="X22" s="1355"/>
      <c r="Y22" s="378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2"/>
      <c r="Q23" s="1352" t="str">
        <f>B23</f>
        <v>环境质量</v>
      </c>
      <c r="R23" s="705" t="s">
        <v>14</v>
      </c>
      <c r="S23" s="706">
        <f>F23</f>
        <v>100</v>
      </c>
      <c r="T23" s="705" t="s">
        <v>14</v>
      </c>
      <c r="U23" s="706">
        <f>H23</f>
        <v>100</v>
      </c>
      <c r="V23" s="705" t="s">
        <v>14</v>
      </c>
      <c r="W23" s="706">
        <f>J23</f>
        <v>100</v>
      </c>
      <c r="X23" s="1355"/>
      <c r="Y23" s="378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2"/>
      <c r="Q24" s="1352"/>
      <c r="R24" s="705"/>
      <c r="S24" s="706"/>
      <c r="T24" s="705"/>
      <c r="U24" s="706"/>
      <c r="V24" s="705"/>
      <c r="W24" s="706"/>
      <c r="X24" s="1355"/>
      <c r="Y24" s="37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2"/>
      <c r="Q25" s="1352">
        <f>B25</f>
        <v>111</v>
      </c>
      <c r="R25" s="705" t="s">
        <v>14</v>
      </c>
      <c r="S25" s="706">
        <f>F25</f>
        <v>100</v>
      </c>
      <c r="T25" s="705" t="s">
        <v>14</v>
      </c>
      <c r="U25" s="706">
        <f>H25</f>
        <v>100</v>
      </c>
      <c r="V25" s="705" t="s">
        <v>14</v>
      </c>
      <c r="W25" s="706">
        <f>J25</f>
        <v>100</v>
      </c>
      <c r="X25" s="1355"/>
      <c r="Y25" s="37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2"/>
      <c r="Q26" s="1352">
        <f t="shared" ref="Q26:Q40" si="11">B26</f>
        <v>111</v>
      </c>
      <c r="R26" s="705" t="s">
        <v>14</v>
      </c>
      <c r="S26" s="706">
        <f>F26</f>
        <v>100</v>
      </c>
      <c r="T26" s="705" t="s">
        <v>14</v>
      </c>
      <c r="U26" s="706">
        <f>H26</f>
        <v>100</v>
      </c>
      <c r="V26" s="705" t="s">
        <v>14</v>
      </c>
      <c r="W26" s="706">
        <f>J26</f>
        <v>100</v>
      </c>
      <c r="X26" s="1355"/>
      <c r="Y26" s="37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2"/>
      <c r="Q27" s="1343">
        <f t="shared" si="11"/>
        <v>111</v>
      </c>
      <c r="R27" s="701" t="s">
        <v>14</v>
      </c>
      <c r="S27" s="702">
        <f>F27</f>
        <v>100</v>
      </c>
      <c r="T27" s="701" t="s">
        <v>14</v>
      </c>
      <c r="U27" s="702">
        <f>H27</f>
        <v>100</v>
      </c>
      <c r="V27" s="701" t="s">
        <v>14</v>
      </c>
      <c r="W27" s="702">
        <f>J27</f>
        <v>100</v>
      </c>
      <c r="X27" s="703"/>
      <c r="Y27" s="378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2"/>
      <c r="Q28" s="1352">
        <f t="shared" si="11"/>
        <v>111</v>
      </c>
      <c r="R28" s="705" t="s">
        <v>14</v>
      </c>
      <c r="S28" s="706">
        <f t="shared" ref="S28:S40" si="12">F28</f>
        <v>100</v>
      </c>
      <c r="T28" s="705" t="s">
        <v>14</v>
      </c>
      <c r="U28" s="706">
        <f t="shared" ref="U28:U40" si="13">H28</f>
        <v>100</v>
      </c>
      <c r="V28" s="705" t="s">
        <v>14</v>
      </c>
      <c r="W28" s="706">
        <f t="shared" ref="W28:W40" si="14">J28</f>
        <v>100</v>
      </c>
      <c r="X28" s="1355"/>
      <c r="Y28" s="378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5" t="s">
        <v>1696</v>
      </c>
      <c r="Q29" s="1352" t="str">
        <f t="shared" si="11"/>
        <v>建筑类型</v>
      </c>
      <c r="R29" s="705" t="s">
        <v>14</v>
      </c>
      <c r="S29" s="706">
        <f t="shared" si="12"/>
        <v>100</v>
      </c>
      <c r="T29" s="705" t="s">
        <v>14</v>
      </c>
      <c r="U29" s="706">
        <f t="shared" si="13"/>
        <v>100</v>
      </c>
      <c r="V29" s="705" t="s">
        <v>14</v>
      </c>
      <c r="W29" s="706">
        <f t="shared" si="14"/>
        <v>100</v>
      </c>
      <c r="X29" s="1355"/>
      <c r="Y29" s="37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6"/>
      <c r="Q30" s="707" t="str">
        <f t="shared" si="11"/>
        <v>项目建筑规模</v>
      </c>
      <c r="R30" s="708" t="s">
        <v>14</v>
      </c>
      <c r="S30" s="709" t="e">
        <f t="shared" si="12"/>
        <v>#N/A</v>
      </c>
      <c r="T30" s="708" t="s">
        <v>14</v>
      </c>
      <c r="U30" s="709" t="e">
        <f t="shared" si="13"/>
        <v>#N/A</v>
      </c>
      <c r="V30" s="708" t="s">
        <v>14</v>
      </c>
      <c r="W30" s="709" t="e">
        <f t="shared" si="14"/>
        <v>#N/A</v>
      </c>
      <c r="X30" s="710"/>
      <c r="Y30" s="37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6"/>
      <c r="Q31" s="1352" t="str">
        <f t="shared" si="11"/>
        <v>建筑结构</v>
      </c>
      <c r="R31" s="705" t="s">
        <v>14</v>
      </c>
      <c r="S31" s="706">
        <f t="shared" si="12"/>
        <v>100</v>
      </c>
      <c r="T31" s="705" t="s">
        <v>14</v>
      </c>
      <c r="U31" s="706">
        <f t="shared" si="13"/>
        <v>100</v>
      </c>
      <c r="V31" s="705" t="s">
        <v>14</v>
      </c>
      <c r="W31" s="706">
        <f t="shared" si="14"/>
        <v>100</v>
      </c>
      <c r="X31" s="1355"/>
      <c r="Y31" s="37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6"/>
      <c r="Q32" s="1352" t="str">
        <f t="shared" si="11"/>
        <v>公共部分装修</v>
      </c>
      <c r="R32" s="705" t="s">
        <v>14</v>
      </c>
      <c r="S32" s="706">
        <f t="shared" si="12"/>
        <v>100</v>
      </c>
      <c r="T32" s="705" t="s">
        <v>14</v>
      </c>
      <c r="U32" s="706">
        <f t="shared" si="13"/>
        <v>100</v>
      </c>
      <c r="V32" s="705" t="s">
        <v>14</v>
      </c>
      <c r="W32" s="706">
        <f t="shared" si="14"/>
        <v>100</v>
      </c>
      <c r="X32" s="1355"/>
      <c r="Y32" s="37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6"/>
      <c r="Q33" s="1352" t="str">
        <f t="shared" si="11"/>
        <v>成新度</v>
      </c>
      <c r="R33" s="705" t="s">
        <v>14</v>
      </c>
      <c r="S33" s="706" t="e">
        <f t="shared" si="12"/>
        <v>#N/A</v>
      </c>
      <c r="T33" s="705" t="s">
        <v>14</v>
      </c>
      <c r="U33" s="706" t="e">
        <f t="shared" si="13"/>
        <v>#N/A</v>
      </c>
      <c r="V33" s="705" t="s">
        <v>14</v>
      </c>
      <c r="W33" s="706" t="e">
        <f t="shared" si="14"/>
        <v>#N/A</v>
      </c>
      <c r="X33" s="1355"/>
      <c r="Y33" s="37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6"/>
      <c r="Q34" s="1343" t="str">
        <f t="shared" si="11"/>
        <v>物业管理</v>
      </c>
      <c r="R34" s="701" t="s">
        <v>14</v>
      </c>
      <c r="S34" s="702">
        <f t="shared" si="12"/>
        <v>100</v>
      </c>
      <c r="T34" s="701" t="s">
        <v>14</v>
      </c>
      <c r="U34" s="702">
        <f t="shared" si="13"/>
        <v>100</v>
      </c>
      <c r="V34" s="701" t="s">
        <v>14</v>
      </c>
      <c r="W34" s="702">
        <f t="shared" si="14"/>
        <v>100</v>
      </c>
      <c r="X34" s="703"/>
      <c r="Y34" s="37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6" t="s">
        <v>1696</v>
      </c>
      <c r="Q35" s="1352" t="str">
        <f t="shared" si="11"/>
        <v>市政基础设施</v>
      </c>
      <c r="R35" s="705" t="s">
        <v>14</v>
      </c>
      <c r="S35" s="706">
        <f t="shared" si="12"/>
        <v>100</v>
      </c>
      <c r="T35" s="705" t="s">
        <v>14</v>
      </c>
      <c r="U35" s="706">
        <f t="shared" si="13"/>
        <v>100</v>
      </c>
      <c r="V35" s="705" t="s">
        <v>14</v>
      </c>
      <c r="W35" s="706">
        <f t="shared" si="14"/>
        <v>100</v>
      </c>
      <c r="X35" s="1355"/>
      <c r="Y35" s="37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6"/>
      <c r="Q36" s="1352" t="str">
        <f t="shared" si="11"/>
        <v>内部装修</v>
      </c>
      <c r="R36" s="705" t="s">
        <v>14</v>
      </c>
      <c r="S36" s="706">
        <f t="shared" si="12"/>
        <v>100</v>
      </c>
      <c r="T36" s="705" t="s">
        <v>14</v>
      </c>
      <c r="U36" s="706">
        <f t="shared" si="13"/>
        <v>100</v>
      </c>
      <c r="V36" s="705" t="s">
        <v>14</v>
      </c>
      <c r="W36" s="706">
        <f t="shared" si="14"/>
        <v>100</v>
      </c>
      <c r="X36" s="1355"/>
      <c r="Y36" s="37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6"/>
      <c r="Q37" s="1352" t="str">
        <f t="shared" si="11"/>
        <v>内部装修状况</v>
      </c>
      <c r="R37" s="705" t="s">
        <v>14</v>
      </c>
      <c r="S37" s="706">
        <f t="shared" si="12"/>
        <v>100</v>
      </c>
      <c r="T37" s="705" t="s">
        <v>14</v>
      </c>
      <c r="U37" s="706">
        <f t="shared" si="13"/>
        <v>100</v>
      </c>
      <c r="V37" s="705" t="s">
        <v>14</v>
      </c>
      <c r="W37" s="706">
        <f t="shared" si="14"/>
        <v>100</v>
      </c>
      <c r="X37" s="1355"/>
      <c r="Y37" s="37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6"/>
      <c r="Q38" s="707">
        <f t="shared" si="11"/>
        <v>111</v>
      </c>
      <c r="R38" s="708" t="s">
        <v>14</v>
      </c>
      <c r="S38" s="709">
        <f t="shared" si="12"/>
        <v>100</v>
      </c>
      <c r="T38" s="708" t="s">
        <v>14</v>
      </c>
      <c r="U38" s="709">
        <f t="shared" si="13"/>
        <v>100</v>
      </c>
      <c r="V38" s="708" t="s">
        <v>14</v>
      </c>
      <c r="W38" s="709">
        <f t="shared" si="14"/>
        <v>100</v>
      </c>
      <c r="X38" s="710"/>
      <c r="Y38" s="37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6"/>
      <c r="Q39" s="1352">
        <f t="shared" si="11"/>
        <v>111</v>
      </c>
      <c r="R39" s="705" t="s">
        <v>14</v>
      </c>
      <c r="S39" s="706">
        <f t="shared" si="12"/>
        <v>100</v>
      </c>
      <c r="T39" s="705" t="s">
        <v>14</v>
      </c>
      <c r="U39" s="706">
        <f t="shared" si="13"/>
        <v>100</v>
      </c>
      <c r="V39" s="705" t="s">
        <v>14</v>
      </c>
      <c r="W39" s="706">
        <f t="shared" si="14"/>
        <v>100</v>
      </c>
      <c r="X39" s="1355"/>
      <c r="Y39" s="378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7"/>
      <c r="Q40" s="1352">
        <f t="shared" si="11"/>
        <v>111</v>
      </c>
      <c r="R40" s="705" t="s">
        <v>14</v>
      </c>
      <c r="S40" s="706">
        <f t="shared" si="12"/>
        <v>100</v>
      </c>
      <c r="T40" s="705" t="s">
        <v>14</v>
      </c>
      <c r="U40" s="706">
        <f t="shared" si="13"/>
        <v>100</v>
      </c>
      <c r="V40" s="705" t="s">
        <v>14</v>
      </c>
      <c r="W40" s="706">
        <f t="shared" si="14"/>
        <v>100</v>
      </c>
      <c r="X40" s="1355"/>
      <c r="Y40" s="378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79" t="str">
        <f>A41</f>
        <v>成交单价（元/平方米）</v>
      </c>
      <c r="Q41" s="3779"/>
      <c r="R41" s="3780">
        <f>E41</f>
        <v>0</v>
      </c>
      <c r="S41" s="3780"/>
      <c r="T41" s="3780">
        <f>G41</f>
        <v>0</v>
      </c>
      <c r="U41" s="3780"/>
      <c r="V41" s="3780">
        <f>I41</f>
        <v>0</v>
      </c>
      <c r="W41" s="378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79" t="str">
        <f>A42</f>
        <v>比较价值（元/平方米）</v>
      </c>
      <c r="Q42" s="3779"/>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76" t="str">
        <f>A43</f>
        <v>估价对象XX用房的比较价值（楼面单价，元/平方米）</v>
      </c>
      <c r="Q43" s="3777"/>
      <c r="R43" s="3778" t="e">
        <f>IF(F1="售价",ROUND(IF(D42="简单平均",AVERAGE(R42:V42),R42*F42+T42*H42+V42*J42),0),ROUND(IF(D42="简单平均",AVERAGE(R42:V42),R42*F42+T42*H42+V42*J42),1))</f>
        <v>#DIV/0!</v>
      </c>
      <c r="S43" s="3778"/>
      <c r="T43" s="3778"/>
      <c r="U43" s="3778"/>
      <c r="V43" s="3778"/>
      <c r="W43" s="377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5"/>
      <c r="M4" s="2716"/>
      <c r="N4" s="2716"/>
      <c r="O4" s="2716"/>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53" t="s">
        <v>1674</v>
      </c>
      <c r="F5" s="3754"/>
      <c r="G5" s="3755" t="s">
        <v>1675</v>
      </c>
      <c r="H5" s="3756"/>
      <c r="I5" s="3755" t="s">
        <v>1676</v>
      </c>
      <c r="J5" s="3756"/>
      <c r="K5" s="559"/>
      <c r="L5" s="2715"/>
      <c r="M5" s="2716"/>
      <c r="N5" s="2716"/>
      <c r="O5" s="2716"/>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559" t="s">
        <v>1678</v>
      </c>
      <c r="L6" s="2715"/>
      <c r="M6" s="2716"/>
      <c r="N6" s="2716"/>
      <c r="O6" s="2716"/>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45680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7" t="s">
        <v>1680</v>
      </c>
      <c r="Q7" s="3775"/>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79"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79"/>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79"/>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79"/>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79"/>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81" t="s">
        <v>1691</v>
      </c>
      <c r="Q14" s="1352" t="str">
        <f t="shared" si="6"/>
        <v>交通便捷度</v>
      </c>
      <c r="R14" s="705" t="s">
        <v>14</v>
      </c>
      <c r="S14" s="706">
        <f t="shared" si="0"/>
        <v>100</v>
      </c>
      <c r="T14" s="705" t="s">
        <v>14</v>
      </c>
      <c r="U14" s="706">
        <f t="shared" si="1"/>
        <v>100</v>
      </c>
      <c r="V14" s="705" t="s">
        <v>14</v>
      </c>
      <c r="W14" s="706">
        <f t="shared" si="2"/>
        <v>100</v>
      </c>
      <c r="X14" s="1355"/>
      <c r="Y14" s="37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82"/>
      <c r="Q15" s="1352"/>
      <c r="R15" s="705"/>
      <c r="S15" s="706"/>
      <c r="T15" s="705"/>
      <c r="U15" s="706"/>
      <c r="V15" s="705"/>
      <c r="W15" s="706"/>
      <c r="X15" s="1355"/>
      <c r="Y15" s="378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82"/>
      <c r="Q16" s="1352" t="str">
        <f>B16</f>
        <v>公共配套设施</v>
      </c>
      <c r="R16" s="705" t="s">
        <v>14</v>
      </c>
      <c r="S16" s="706">
        <f>F16</f>
        <v>100</v>
      </c>
      <c r="T16" s="705" t="s">
        <v>14</v>
      </c>
      <c r="U16" s="706">
        <f>H16</f>
        <v>100</v>
      </c>
      <c r="V16" s="705" t="s">
        <v>14</v>
      </c>
      <c r="W16" s="706">
        <f>J16</f>
        <v>100</v>
      </c>
      <c r="X16" s="1355"/>
      <c r="Y16" s="37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82"/>
      <c r="Q17" s="1352"/>
      <c r="R17" s="705"/>
      <c r="S17" s="706"/>
      <c r="T17" s="705"/>
      <c r="U17" s="706"/>
      <c r="V17" s="705"/>
      <c r="W17" s="706"/>
      <c r="X17" s="1355"/>
      <c r="Y17" s="378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82"/>
      <c r="Q18" s="1352" t="str">
        <f>B18</f>
        <v>基础设施水平</v>
      </c>
      <c r="R18" s="705" t="s">
        <v>14</v>
      </c>
      <c r="S18" s="706">
        <f>F18</f>
        <v>100</v>
      </c>
      <c r="T18" s="705" t="s">
        <v>14</v>
      </c>
      <c r="U18" s="706">
        <f>H18</f>
        <v>100</v>
      </c>
      <c r="V18" s="705" t="s">
        <v>14</v>
      </c>
      <c r="W18" s="706">
        <f>J18</f>
        <v>100</v>
      </c>
      <c r="X18" s="1355"/>
      <c r="Y18" s="37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82"/>
      <c r="Q19" s="1352"/>
      <c r="R19" s="705"/>
      <c r="S19" s="706"/>
      <c r="T19" s="705"/>
      <c r="U19" s="706"/>
      <c r="V19" s="705"/>
      <c r="W19" s="706"/>
      <c r="X19" s="1355"/>
      <c r="Y19" s="378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82"/>
      <c r="Q20" s="1352" t="str">
        <f>B20</f>
        <v>自然及人文环境</v>
      </c>
      <c r="R20" s="705" t="s">
        <v>14</v>
      </c>
      <c r="S20" s="706">
        <f>F20</f>
        <v>100</v>
      </c>
      <c r="T20" s="705" t="s">
        <v>14</v>
      </c>
      <c r="U20" s="706">
        <f>H20</f>
        <v>100</v>
      </c>
      <c r="V20" s="705" t="s">
        <v>14</v>
      </c>
      <c r="W20" s="706">
        <f>J20</f>
        <v>100</v>
      </c>
      <c r="X20" s="1355"/>
      <c r="Y20" s="37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82"/>
      <c r="Q21" s="1352"/>
      <c r="R21" s="705"/>
      <c r="S21" s="706"/>
      <c r="T21" s="705"/>
      <c r="U21" s="706"/>
      <c r="V21" s="705"/>
      <c r="W21" s="706"/>
      <c r="X21" s="1355"/>
      <c r="Y21" s="37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82"/>
      <c r="Q22" s="1352" t="str">
        <f>B22</f>
        <v>楼层</v>
      </c>
      <c r="R22" s="705" t="s">
        <v>14</v>
      </c>
      <c r="S22" s="706">
        <f>F22</f>
        <v>100</v>
      </c>
      <c r="T22" s="705" t="s">
        <v>14</v>
      </c>
      <c r="U22" s="706">
        <f>H22</f>
        <v>100</v>
      </c>
      <c r="V22" s="705" t="s">
        <v>14</v>
      </c>
      <c r="W22" s="706">
        <f>J22</f>
        <v>100</v>
      </c>
      <c r="X22" s="1355"/>
      <c r="Y22" s="37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82"/>
      <c r="Q23" s="1352">
        <f>B23</f>
        <v>111</v>
      </c>
      <c r="R23" s="705" t="s">
        <v>14</v>
      </c>
      <c r="S23" s="706">
        <f>F23</f>
        <v>100</v>
      </c>
      <c r="T23" s="705" t="s">
        <v>14</v>
      </c>
      <c r="U23" s="706">
        <f>H23</f>
        <v>100</v>
      </c>
      <c r="V23" s="705" t="s">
        <v>14</v>
      </c>
      <c r="W23" s="706">
        <f>J23</f>
        <v>100</v>
      </c>
      <c r="X23" s="1355"/>
      <c r="Y23" s="37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82"/>
      <c r="Q24" s="1352">
        <f t="shared" ref="Q24:Q36" si="11">B24</f>
        <v>111</v>
      </c>
      <c r="R24" s="705" t="s">
        <v>14</v>
      </c>
      <c r="S24" s="706">
        <f>F24</f>
        <v>100</v>
      </c>
      <c r="T24" s="705" t="s">
        <v>14</v>
      </c>
      <c r="U24" s="706">
        <f>H24</f>
        <v>100</v>
      </c>
      <c r="V24" s="705" t="s">
        <v>14</v>
      </c>
      <c r="W24" s="706">
        <f>J24</f>
        <v>100</v>
      </c>
      <c r="X24" s="1355"/>
      <c r="Y24" s="378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82"/>
      <c r="Q25" s="1343">
        <f t="shared" si="11"/>
        <v>111</v>
      </c>
      <c r="R25" s="701" t="s">
        <v>14</v>
      </c>
      <c r="S25" s="702">
        <f>F25</f>
        <v>100</v>
      </c>
      <c r="T25" s="701" t="s">
        <v>14</v>
      </c>
      <c r="U25" s="702">
        <f>H25</f>
        <v>100</v>
      </c>
      <c r="V25" s="701" t="s">
        <v>14</v>
      </c>
      <c r="W25" s="702">
        <f>J25</f>
        <v>100</v>
      </c>
      <c r="X25" s="703"/>
      <c r="Y25" s="378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0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86"/>
      <c r="Q27" s="707" t="str">
        <f t="shared" si="11"/>
        <v>项目停车位配比</v>
      </c>
      <c r="R27" s="708" t="s">
        <v>14</v>
      </c>
      <c r="S27" s="709">
        <f t="shared" si="12"/>
        <v>100</v>
      </c>
      <c r="T27" s="708" t="s">
        <v>14</v>
      </c>
      <c r="U27" s="709">
        <f t="shared" si="13"/>
        <v>100</v>
      </c>
      <c r="V27" s="708" t="s">
        <v>14</v>
      </c>
      <c r="W27" s="709">
        <f t="shared" si="14"/>
        <v>100</v>
      </c>
      <c r="X27" s="710"/>
      <c r="Y27" s="37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86"/>
      <c r="Q28" s="1352" t="str">
        <f t="shared" si="11"/>
        <v>公共部分装修</v>
      </c>
      <c r="R28" s="705" t="s">
        <v>14</v>
      </c>
      <c r="S28" s="706">
        <f t="shared" si="12"/>
        <v>100</v>
      </c>
      <c r="T28" s="705" t="s">
        <v>14</v>
      </c>
      <c r="U28" s="706">
        <f t="shared" si="13"/>
        <v>100</v>
      </c>
      <c r="V28" s="705" t="s">
        <v>14</v>
      </c>
      <c r="W28" s="706">
        <f t="shared" si="14"/>
        <v>100</v>
      </c>
      <c r="X28" s="1355"/>
      <c r="Y28" s="37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86"/>
      <c r="Q29" s="1352" t="str">
        <f t="shared" si="11"/>
        <v>成新率</v>
      </c>
      <c r="R29" s="705" t="s">
        <v>14</v>
      </c>
      <c r="S29" s="706" t="e">
        <f t="shared" si="12"/>
        <v>#N/A</v>
      </c>
      <c r="T29" s="705" t="s">
        <v>14</v>
      </c>
      <c r="U29" s="706" t="e">
        <f t="shared" si="13"/>
        <v>#N/A</v>
      </c>
      <c r="V29" s="705" t="s">
        <v>14</v>
      </c>
      <c r="W29" s="706" t="e">
        <f t="shared" si="14"/>
        <v>#N/A</v>
      </c>
      <c r="X29" s="1355"/>
      <c r="Y29" s="37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86"/>
      <c r="Q30" s="1352" t="str">
        <f t="shared" si="11"/>
        <v>物业等级</v>
      </c>
      <c r="R30" s="705" t="s">
        <v>14</v>
      </c>
      <c r="S30" s="706">
        <f t="shared" si="12"/>
        <v>100</v>
      </c>
      <c r="T30" s="705" t="s">
        <v>14</v>
      </c>
      <c r="U30" s="706">
        <f t="shared" si="13"/>
        <v>100</v>
      </c>
      <c r="V30" s="705" t="s">
        <v>14</v>
      </c>
      <c r="W30" s="706">
        <f t="shared" si="14"/>
        <v>100</v>
      </c>
      <c r="X30" s="1355"/>
      <c r="Y30" s="37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86"/>
      <c r="Q31" s="1343" t="str">
        <f t="shared" si="11"/>
        <v>停车位面积</v>
      </c>
      <c r="R31" s="701" t="s">
        <v>14</v>
      </c>
      <c r="S31" s="702" t="e">
        <f t="shared" si="12"/>
        <v>#N/A</v>
      </c>
      <c r="T31" s="701" t="s">
        <v>14</v>
      </c>
      <c r="U31" s="702" t="e">
        <f t="shared" si="13"/>
        <v>#N/A</v>
      </c>
      <c r="V31" s="701" t="s">
        <v>14</v>
      </c>
      <c r="W31" s="702" t="e">
        <f t="shared" si="14"/>
        <v>#N/A</v>
      </c>
      <c r="X31" s="703"/>
      <c r="Y31" s="37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86" t="s">
        <v>1696</v>
      </c>
      <c r="Q32" s="1352" t="str">
        <f t="shared" si="11"/>
        <v>车位类型</v>
      </c>
      <c r="R32" s="705" t="s">
        <v>14</v>
      </c>
      <c r="S32" s="706">
        <f t="shared" si="12"/>
        <v>100</v>
      </c>
      <c r="T32" s="705" t="s">
        <v>14</v>
      </c>
      <c r="U32" s="706">
        <f t="shared" si="13"/>
        <v>100</v>
      </c>
      <c r="V32" s="705" t="s">
        <v>14</v>
      </c>
      <c r="W32" s="706">
        <f t="shared" si="14"/>
        <v>100</v>
      </c>
      <c r="X32" s="1355"/>
      <c r="Y32" s="37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86"/>
      <c r="Q33" s="1352" t="str">
        <f t="shared" si="11"/>
        <v>是否直接入户</v>
      </c>
      <c r="R33" s="705" t="s">
        <v>14</v>
      </c>
      <c r="S33" s="706">
        <f t="shared" si="12"/>
        <v>100</v>
      </c>
      <c r="T33" s="705" t="s">
        <v>14</v>
      </c>
      <c r="U33" s="706">
        <f t="shared" si="13"/>
        <v>100</v>
      </c>
      <c r="V33" s="705" t="s">
        <v>14</v>
      </c>
      <c r="W33" s="706">
        <f t="shared" si="14"/>
        <v>100</v>
      </c>
      <c r="X33" s="1355"/>
      <c r="Y33" s="37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86"/>
      <c r="Q34" s="1352">
        <f t="shared" si="11"/>
        <v>111</v>
      </c>
      <c r="R34" s="705" t="s">
        <v>14</v>
      </c>
      <c r="S34" s="706">
        <f t="shared" si="12"/>
        <v>100</v>
      </c>
      <c r="T34" s="705" t="s">
        <v>14</v>
      </c>
      <c r="U34" s="706">
        <f t="shared" si="13"/>
        <v>100</v>
      </c>
      <c r="V34" s="705" t="s">
        <v>14</v>
      </c>
      <c r="W34" s="706">
        <f t="shared" si="14"/>
        <v>100</v>
      </c>
      <c r="X34" s="1355"/>
      <c r="Y34" s="37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86"/>
      <c r="Q35" s="707">
        <f t="shared" si="11"/>
        <v>111</v>
      </c>
      <c r="R35" s="708" t="s">
        <v>14</v>
      </c>
      <c r="S35" s="709">
        <f t="shared" si="12"/>
        <v>100</v>
      </c>
      <c r="T35" s="708" t="s">
        <v>14</v>
      </c>
      <c r="U35" s="709">
        <f t="shared" si="13"/>
        <v>100</v>
      </c>
      <c r="V35" s="708" t="s">
        <v>14</v>
      </c>
      <c r="W35" s="709">
        <f t="shared" si="14"/>
        <v>100</v>
      </c>
      <c r="X35" s="710"/>
      <c r="Y35" s="378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86"/>
      <c r="Q36" s="1352">
        <f t="shared" si="11"/>
        <v>111</v>
      </c>
      <c r="R36" s="705" t="s">
        <v>14</v>
      </c>
      <c r="S36" s="706">
        <f t="shared" si="12"/>
        <v>100</v>
      </c>
      <c r="T36" s="705" t="s">
        <v>14</v>
      </c>
      <c r="U36" s="706">
        <f t="shared" si="13"/>
        <v>100</v>
      </c>
      <c r="V36" s="705" t="s">
        <v>14</v>
      </c>
      <c r="W36" s="706">
        <f t="shared" si="14"/>
        <v>100</v>
      </c>
      <c r="X36" s="1355"/>
      <c r="Y36" s="3786"/>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79" t="str">
        <f>A37</f>
        <v>成交单价</v>
      </c>
      <c r="Q37" s="3779"/>
      <c r="R37" s="3780">
        <f>E37</f>
        <v>0</v>
      </c>
      <c r="S37" s="3780"/>
      <c r="T37" s="3780">
        <f>G37</f>
        <v>0</v>
      </c>
      <c r="U37" s="3780"/>
      <c r="V37" s="3780">
        <f>I37</f>
        <v>0</v>
      </c>
      <c r="W37" s="378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79" t="str">
        <f>A38</f>
        <v>比较价值（元/平方米）</v>
      </c>
      <c r="Q38" s="3779"/>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76" t="str">
        <f>A39</f>
        <v>估价对象XX用房的比较价值（楼面单价，元/平方米）</v>
      </c>
      <c r="Q39" s="3777"/>
      <c r="R39" s="3806" t="e">
        <f>IF(F1="售价",ROUND(IF(D38="简单平均",AVERAGE(R38:W38),R38*F38+T38*H38+V38*J38),0),ROUND(IF(D38="简单平均",AVERAGE(R38:V38),R38*F38+T38*H38+V38*J38),1))</f>
        <v>#DIV/0!</v>
      </c>
      <c r="S39" s="3806"/>
      <c r="T39" s="3806"/>
      <c r="U39" s="3806"/>
      <c r="V39" s="3806"/>
      <c r="W39" s="380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5"/>
      <c r="M4" s="2716"/>
      <c r="N4" s="2716"/>
      <c r="O4" s="2716"/>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53" t="s">
        <v>1674</v>
      </c>
      <c r="F5" s="3754"/>
      <c r="G5" s="3755" t="s">
        <v>1675</v>
      </c>
      <c r="H5" s="3756"/>
      <c r="I5" s="3755" t="s">
        <v>1676</v>
      </c>
      <c r="J5" s="3756"/>
      <c r="K5" s="559"/>
      <c r="L5" s="2715"/>
      <c r="M5" s="2716"/>
      <c r="N5" s="2716"/>
      <c r="O5" s="2716"/>
      <c r="P5" s="3768"/>
      <c r="Q5" s="3769"/>
      <c r="R5" s="3751"/>
      <c r="S5" s="3752"/>
      <c r="T5" s="3751"/>
      <c r="U5" s="3752"/>
      <c r="V5" s="3774"/>
      <c r="W5" s="3774"/>
      <c r="X5" s="1355"/>
      <c r="Y5" s="3751"/>
      <c r="Z5" s="3752"/>
      <c r="AA5" s="3745"/>
      <c r="AB5" s="3745"/>
      <c r="AC5" s="3745"/>
    </row>
    <row r="6" spans="1:29" ht="15" thickBot="1">
      <c r="A6" s="360"/>
      <c r="B6" s="361"/>
      <c r="C6" s="3757" t="s">
        <v>1677</v>
      </c>
      <c r="D6" s="3758"/>
      <c r="E6" s="3759" t="s">
        <v>1677</v>
      </c>
      <c r="F6" s="3760"/>
      <c r="G6" s="3757" t="s">
        <v>1677</v>
      </c>
      <c r="H6" s="3758"/>
      <c r="I6" s="3757" t="s">
        <v>1677</v>
      </c>
      <c r="J6" s="3758"/>
      <c r="K6" s="559" t="s">
        <v>1678</v>
      </c>
      <c r="L6" s="2715"/>
      <c r="M6" s="2716"/>
      <c r="N6" s="2716"/>
      <c r="O6" s="2716"/>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45680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7" t="s">
        <v>1680</v>
      </c>
      <c r="Q7" s="3775"/>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79"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79"/>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79"/>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79"/>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79"/>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81" t="s">
        <v>1691</v>
      </c>
      <c r="Q14" s="1352" t="str">
        <f t="shared" si="6"/>
        <v>交通便捷度</v>
      </c>
      <c r="R14" s="705" t="s">
        <v>14</v>
      </c>
      <c r="S14" s="706">
        <f t="shared" si="0"/>
        <v>100</v>
      </c>
      <c r="T14" s="705" t="s">
        <v>14</v>
      </c>
      <c r="U14" s="706">
        <f t="shared" si="1"/>
        <v>100</v>
      </c>
      <c r="V14" s="705" t="s">
        <v>14</v>
      </c>
      <c r="W14" s="706">
        <f t="shared" si="2"/>
        <v>100</v>
      </c>
      <c r="X14" s="1355"/>
      <c r="Y14" s="37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82"/>
      <c r="Q15" s="1352"/>
      <c r="R15" s="705"/>
      <c r="S15" s="706"/>
      <c r="T15" s="705"/>
      <c r="U15" s="706"/>
      <c r="V15" s="705"/>
      <c r="W15" s="706"/>
      <c r="X15" s="1355"/>
      <c r="Y15" s="378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82"/>
      <c r="Q16" s="1352" t="str">
        <f>B16</f>
        <v>公共配套设施</v>
      </c>
      <c r="R16" s="705" t="s">
        <v>14</v>
      </c>
      <c r="S16" s="706">
        <f>F16</f>
        <v>100</v>
      </c>
      <c r="T16" s="705" t="s">
        <v>14</v>
      </c>
      <c r="U16" s="706">
        <f>H16</f>
        <v>100</v>
      </c>
      <c r="V16" s="705" t="s">
        <v>14</v>
      </c>
      <c r="W16" s="706">
        <f>J16</f>
        <v>100</v>
      </c>
      <c r="X16" s="1355"/>
      <c r="Y16" s="37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82"/>
      <c r="Q17" s="1352"/>
      <c r="R17" s="705"/>
      <c r="S17" s="706"/>
      <c r="T17" s="705"/>
      <c r="U17" s="706"/>
      <c r="V17" s="705"/>
      <c r="W17" s="706"/>
      <c r="X17" s="1355"/>
      <c r="Y17" s="378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82"/>
      <c r="Q18" s="1352" t="str">
        <f>B18</f>
        <v>基础设施水平</v>
      </c>
      <c r="R18" s="705" t="s">
        <v>14</v>
      </c>
      <c r="S18" s="706">
        <f>F18</f>
        <v>100</v>
      </c>
      <c r="T18" s="705" t="s">
        <v>14</v>
      </c>
      <c r="U18" s="706">
        <f>H18</f>
        <v>100</v>
      </c>
      <c r="V18" s="705" t="s">
        <v>14</v>
      </c>
      <c r="W18" s="706">
        <f>J18</f>
        <v>100</v>
      </c>
      <c r="X18" s="1355"/>
      <c r="Y18" s="37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82"/>
      <c r="Q19" s="1352"/>
      <c r="R19" s="705"/>
      <c r="S19" s="706"/>
      <c r="T19" s="705"/>
      <c r="U19" s="706"/>
      <c r="V19" s="705"/>
      <c r="W19" s="706"/>
      <c r="X19" s="1355"/>
      <c r="Y19" s="378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82"/>
      <c r="Q20" s="1352" t="str">
        <f>B20</f>
        <v>自然及人文环境</v>
      </c>
      <c r="R20" s="705" t="s">
        <v>14</v>
      </c>
      <c r="S20" s="706">
        <f>F20</f>
        <v>100</v>
      </c>
      <c r="T20" s="705" t="s">
        <v>14</v>
      </c>
      <c r="U20" s="706">
        <f>H20</f>
        <v>100</v>
      </c>
      <c r="V20" s="705" t="s">
        <v>14</v>
      </c>
      <c r="W20" s="706">
        <f>J20</f>
        <v>100</v>
      </c>
      <c r="X20" s="1355"/>
      <c r="Y20" s="37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82"/>
      <c r="Q21" s="1352"/>
      <c r="R21" s="705"/>
      <c r="S21" s="706"/>
      <c r="T21" s="705"/>
      <c r="U21" s="706"/>
      <c r="V21" s="705"/>
      <c r="W21" s="706"/>
      <c r="X21" s="1355"/>
      <c r="Y21" s="37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82"/>
      <c r="Q22" s="1352" t="str">
        <f>B22</f>
        <v>楼层</v>
      </c>
      <c r="R22" s="705" t="s">
        <v>14</v>
      </c>
      <c r="S22" s="706">
        <f>F22</f>
        <v>100</v>
      </c>
      <c r="T22" s="705" t="s">
        <v>14</v>
      </c>
      <c r="U22" s="706">
        <f>H22</f>
        <v>100</v>
      </c>
      <c r="V22" s="705" t="s">
        <v>14</v>
      </c>
      <c r="W22" s="706">
        <f>J22</f>
        <v>100</v>
      </c>
      <c r="X22" s="1355"/>
      <c r="Y22" s="37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82"/>
      <c r="Q23" s="1352">
        <f>B23</f>
        <v>111</v>
      </c>
      <c r="R23" s="705" t="s">
        <v>14</v>
      </c>
      <c r="S23" s="706">
        <f>F23</f>
        <v>100</v>
      </c>
      <c r="T23" s="705" t="s">
        <v>14</v>
      </c>
      <c r="U23" s="706">
        <f>H23</f>
        <v>100</v>
      </c>
      <c r="V23" s="705" t="s">
        <v>14</v>
      </c>
      <c r="W23" s="706">
        <f>J23</f>
        <v>100</v>
      </c>
      <c r="X23" s="1355"/>
      <c r="Y23" s="37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82"/>
      <c r="Q24" s="1352">
        <f t="shared" ref="Q24:Q34" si="11">B24</f>
        <v>111</v>
      </c>
      <c r="R24" s="705" t="s">
        <v>14</v>
      </c>
      <c r="S24" s="706">
        <f>F24</f>
        <v>100</v>
      </c>
      <c r="T24" s="705" t="s">
        <v>14</v>
      </c>
      <c r="U24" s="706">
        <f>H24</f>
        <v>100</v>
      </c>
      <c r="V24" s="705" t="s">
        <v>14</v>
      </c>
      <c r="W24" s="706">
        <f>J24</f>
        <v>100</v>
      </c>
      <c r="X24" s="1355"/>
      <c r="Y24" s="378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82"/>
      <c r="Q25" s="1343">
        <f t="shared" si="11"/>
        <v>111</v>
      </c>
      <c r="R25" s="701" t="s">
        <v>14</v>
      </c>
      <c r="S25" s="702">
        <f>F25</f>
        <v>100</v>
      </c>
      <c r="T25" s="701" t="s">
        <v>14</v>
      </c>
      <c r="U25" s="702">
        <f>H25</f>
        <v>100</v>
      </c>
      <c r="V25" s="701" t="s">
        <v>14</v>
      </c>
      <c r="W25" s="702">
        <f>J25</f>
        <v>100</v>
      </c>
      <c r="X25" s="703"/>
      <c r="Y25" s="378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0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86"/>
      <c r="Q27" s="707" t="str">
        <f t="shared" si="11"/>
        <v>成新率</v>
      </c>
      <c r="R27" s="708" t="s">
        <v>14</v>
      </c>
      <c r="S27" s="709" t="e">
        <f t="shared" si="12"/>
        <v>#N/A</v>
      </c>
      <c r="T27" s="708" t="s">
        <v>14</v>
      </c>
      <c r="U27" s="709" t="e">
        <f t="shared" si="13"/>
        <v>#N/A</v>
      </c>
      <c r="V27" s="708" t="s">
        <v>14</v>
      </c>
      <c r="W27" s="709" t="e">
        <f t="shared" si="14"/>
        <v>#N/A</v>
      </c>
      <c r="X27" s="710"/>
      <c r="Y27" s="37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86"/>
      <c r="Q28" s="1352" t="str">
        <f t="shared" si="11"/>
        <v>物业等级</v>
      </c>
      <c r="R28" s="705" t="s">
        <v>14</v>
      </c>
      <c r="S28" s="706">
        <f t="shared" si="12"/>
        <v>100</v>
      </c>
      <c r="T28" s="705" t="s">
        <v>14</v>
      </c>
      <c r="U28" s="706">
        <f t="shared" si="13"/>
        <v>100</v>
      </c>
      <c r="V28" s="705" t="s">
        <v>14</v>
      </c>
      <c r="W28" s="706">
        <f t="shared" si="14"/>
        <v>100</v>
      </c>
      <c r="X28" s="1355"/>
      <c r="Y28" s="37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86"/>
      <c r="Q29" s="1352" t="str">
        <f t="shared" si="11"/>
        <v>有无电梯</v>
      </c>
      <c r="R29" s="705" t="s">
        <v>14</v>
      </c>
      <c r="S29" s="706">
        <f t="shared" si="12"/>
        <v>100</v>
      </c>
      <c r="T29" s="705" t="s">
        <v>14</v>
      </c>
      <c r="U29" s="706">
        <f t="shared" si="13"/>
        <v>100</v>
      </c>
      <c r="V29" s="705" t="s">
        <v>14</v>
      </c>
      <c r="W29" s="706">
        <f t="shared" si="14"/>
        <v>100</v>
      </c>
      <c r="X29" s="1355"/>
      <c r="Y29" s="37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86"/>
      <c r="Q30" s="1352" t="str">
        <f t="shared" si="11"/>
        <v>建筑面积</v>
      </c>
      <c r="R30" s="705" t="s">
        <v>14</v>
      </c>
      <c r="S30" s="706" t="e">
        <f t="shared" si="12"/>
        <v>#N/A</v>
      </c>
      <c r="T30" s="705" t="s">
        <v>14</v>
      </c>
      <c r="U30" s="706" t="e">
        <f t="shared" si="13"/>
        <v>#N/A</v>
      </c>
      <c r="V30" s="705" t="s">
        <v>14</v>
      </c>
      <c r="W30" s="706" t="e">
        <f t="shared" si="14"/>
        <v>#N/A</v>
      </c>
      <c r="X30" s="1355"/>
      <c r="Y30" s="37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86"/>
      <c r="Q31" s="1343" t="str">
        <f t="shared" si="11"/>
        <v>是否封闭</v>
      </c>
      <c r="R31" s="701" t="s">
        <v>14</v>
      </c>
      <c r="S31" s="702">
        <f t="shared" si="12"/>
        <v>100</v>
      </c>
      <c r="T31" s="701" t="s">
        <v>14</v>
      </c>
      <c r="U31" s="702">
        <f t="shared" si="13"/>
        <v>100</v>
      </c>
      <c r="V31" s="701" t="s">
        <v>14</v>
      </c>
      <c r="W31" s="702">
        <f t="shared" si="14"/>
        <v>100</v>
      </c>
      <c r="X31" s="703"/>
      <c r="Y31" s="37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86" t="s">
        <v>1696</v>
      </c>
      <c r="Q32" s="1352">
        <f t="shared" si="11"/>
        <v>111</v>
      </c>
      <c r="R32" s="705" t="s">
        <v>14</v>
      </c>
      <c r="S32" s="706">
        <f t="shared" si="12"/>
        <v>100</v>
      </c>
      <c r="T32" s="705" t="s">
        <v>14</v>
      </c>
      <c r="U32" s="706">
        <f t="shared" si="13"/>
        <v>100</v>
      </c>
      <c r="V32" s="705" t="s">
        <v>14</v>
      </c>
      <c r="W32" s="706">
        <f t="shared" si="14"/>
        <v>100</v>
      </c>
      <c r="X32" s="1355"/>
      <c r="Y32" s="378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86"/>
      <c r="Q33" s="1352">
        <f t="shared" si="11"/>
        <v>111</v>
      </c>
      <c r="R33" s="705" t="s">
        <v>14</v>
      </c>
      <c r="S33" s="706">
        <f t="shared" si="12"/>
        <v>100</v>
      </c>
      <c r="T33" s="705" t="s">
        <v>14</v>
      </c>
      <c r="U33" s="706">
        <f t="shared" si="13"/>
        <v>100</v>
      </c>
      <c r="V33" s="705" t="s">
        <v>14</v>
      </c>
      <c r="W33" s="706">
        <f t="shared" si="14"/>
        <v>100</v>
      </c>
      <c r="X33" s="1355"/>
      <c r="Y33" s="378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86"/>
      <c r="Q34" s="1352">
        <f t="shared" si="11"/>
        <v>111</v>
      </c>
      <c r="R34" s="705" t="s">
        <v>14</v>
      </c>
      <c r="S34" s="706">
        <f t="shared" si="12"/>
        <v>100</v>
      </c>
      <c r="T34" s="705" t="s">
        <v>14</v>
      </c>
      <c r="U34" s="706">
        <f t="shared" si="13"/>
        <v>100</v>
      </c>
      <c r="V34" s="705" t="s">
        <v>14</v>
      </c>
      <c r="W34" s="706">
        <f t="shared" si="14"/>
        <v>100</v>
      </c>
      <c r="X34" s="1355"/>
      <c r="Y34" s="378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79" t="str">
        <f>A35</f>
        <v>成交单价（元/平方米）</v>
      </c>
      <c r="Q35" s="3779"/>
      <c r="R35" s="3780">
        <f>E35</f>
        <v>0</v>
      </c>
      <c r="S35" s="3780"/>
      <c r="T35" s="3780">
        <f>G35</f>
        <v>0</v>
      </c>
      <c r="U35" s="3780"/>
      <c r="V35" s="3780">
        <f>I35</f>
        <v>0</v>
      </c>
      <c r="W35" s="378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79" t="str">
        <f>A36</f>
        <v>比较价值（元/平方米）</v>
      </c>
      <c r="Q36" s="3779"/>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76" t="str">
        <f>A37</f>
        <v>估价对象XX用房的比较价值（楼面单价，元/平方米）</v>
      </c>
      <c r="Q37" s="3777"/>
      <c r="R37" s="3806" t="e">
        <f>IF(F1="售价",ROUND(IF(D36="简单平均",AVERAGE(R36:W36),R36*F36+T36*H36+V36*J36),0),ROUND(IF(D36="简单平均",AVERAGE(R36:V36),R36*F36+T36*H36+V36*J36),1))</f>
        <v>#DIV/0!</v>
      </c>
      <c r="S37" s="3806"/>
      <c r="T37" s="3806"/>
      <c r="U37" s="3806"/>
      <c r="V37" s="3806"/>
      <c r="W37" s="380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62" t="s">
        <v>1770</v>
      </c>
      <c r="D4" s="3763"/>
      <c r="E4" s="3764" t="s">
        <v>1771</v>
      </c>
      <c r="F4" s="3765"/>
      <c r="G4" s="3762" t="s">
        <v>1772</v>
      </c>
      <c r="H4" s="3763"/>
      <c r="I4" s="3762" t="s">
        <v>1773</v>
      </c>
      <c r="J4" s="3763"/>
      <c r="K4" s="559" t="s">
        <v>1774</v>
      </c>
      <c r="L4" s="2715"/>
      <c r="M4" s="2716"/>
      <c r="N4" s="2716"/>
      <c r="O4" s="2716"/>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30">
      <c r="A5" s="358"/>
      <c r="B5" s="359"/>
      <c r="C5" s="3755" t="s">
        <v>1673</v>
      </c>
      <c r="D5" s="3756"/>
      <c r="E5" s="3753" t="s">
        <v>1674</v>
      </c>
      <c r="F5" s="3754"/>
      <c r="G5" s="3755" t="s">
        <v>1675</v>
      </c>
      <c r="H5" s="3756"/>
      <c r="I5" s="3755" t="s">
        <v>1676</v>
      </c>
      <c r="J5" s="3756"/>
      <c r="K5" s="559"/>
      <c r="L5" s="2715"/>
      <c r="M5" s="2716"/>
      <c r="N5" s="2716"/>
      <c r="O5" s="2716"/>
      <c r="P5" s="3768"/>
      <c r="Q5" s="3769"/>
      <c r="R5" s="3751"/>
      <c r="S5" s="3752"/>
      <c r="T5" s="3751"/>
      <c r="U5" s="3752"/>
      <c r="V5" s="3774"/>
      <c r="W5" s="3774"/>
      <c r="X5" s="1355"/>
      <c r="Y5" s="3751"/>
      <c r="Z5" s="3752"/>
      <c r="AA5" s="3745"/>
      <c r="AB5" s="3745"/>
      <c r="AC5" s="3745"/>
    </row>
    <row r="6" spans="1:30" ht="15" thickBot="1">
      <c r="A6" s="360"/>
      <c r="B6" s="361"/>
      <c r="C6" s="3757" t="s">
        <v>1677</v>
      </c>
      <c r="D6" s="3758"/>
      <c r="E6" s="3759" t="s">
        <v>1677</v>
      </c>
      <c r="F6" s="3760"/>
      <c r="G6" s="3757" t="s">
        <v>1677</v>
      </c>
      <c r="H6" s="3758"/>
      <c r="I6" s="3757" t="s">
        <v>1677</v>
      </c>
      <c r="J6" s="3758"/>
      <c r="K6" s="559" t="s">
        <v>1678</v>
      </c>
      <c r="L6" s="2715"/>
      <c r="M6" s="2716"/>
      <c r="N6" s="2716"/>
      <c r="O6" s="2716"/>
      <c r="P6" s="3770"/>
      <c r="Q6" s="3771"/>
      <c r="R6" s="3751"/>
      <c r="S6" s="3752"/>
      <c r="T6" s="3772"/>
      <c r="U6" s="3773"/>
      <c r="V6" s="3774"/>
      <c r="W6" s="3774"/>
      <c r="X6" s="1355"/>
      <c r="Y6" s="3772"/>
      <c r="Z6" s="3773"/>
      <c r="AA6" s="3746"/>
      <c r="AB6" s="3746"/>
      <c r="AC6" s="3746"/>
    </row>
    <row r="7" spans="1:30" s="108" customFormat="1" ht="15" thickBot="1">
      <c r="A7" s="362" t="s">
        <v>1679</v>
      </c>
      <c r="B7" s="363"/>
      <c r="C7" s="364">
        <f>'数据-取费表'!B2</f>
        <v>45680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7" t="s">
        <v>1680</v>
      </c>
      <c r="Q7" s="3775"/>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7" t="s">
        <v>1683</v>
      </c>
      <c r="Q8" s="3748"/>
      <c r="R8" s="701" t="s">
        <v>14</v>
      </c>
      <c r="S8" s="702">
        <f t="shared" si="0"/>
        <v>0</v>
      </c>
      <c r="T8" s="701" t="s">
        <v>14</v>
      </c>
      <c r="U8" s="702">
        <f t="shared" si="1"/>
        <v>0</v>
      </c>
      <c r="V8" s="701" t="s">
        <v>14</v>
      </c>
      <c r="W8" s="702">
        <f t="shared" si="2"/>
        <v>0</v>
      </c>
      <c r="X8" s="703"/>
      <c r="Y8" s="3747" t="s">
        <v>1683</v>
      </c>
      <c r="Z8" s="374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79"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79"/>
      <c r="Q10" s="1343" t="str">
        <f t="shared" si="6"/>
        <v>土地使用年限（年）</v>
      </c>
      <c r="R10" s="701" t="s">
        <v>14</v>
      </c>
      <c r="S10" s="702">
        <f t="shared" si="0"/>
        <v>133</v>
      </c>
      <c r="T10" s="701" t="s">
        <v>14</v>
      </c>
      <c r="U10" s="702">
        <f t="shared" si="1"/>
        <v>133</v>
      </c>
      <c r="V10" s="701" t="s">
        <v>14</v>
      </c>
      <c r="W10" s="702">
        <f t="shared" si="2"/>
        <v>133</v>
      </c>
      <c r="X10" s="703"/>
      <c r="Y10" s="3640"/>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79"/>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79"/>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79"/>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79"/>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81" t="s">
        <v>1691</v>
      </c>
      <c r="Q15" s="1352" t="str">
        <f t="shared" si="6"/>
        <v>居住社区成熟度</v>
      </c>
      <c r="R15" s="705" t="s">
        <v>14</v>
      </c>
      <c r="S15" s="706">
        <f t="shared" si="0"/>
        <v>100</v>
      </c>
      <c r="T15" s="705" t="s">
        <v>14</v>
      </c>
      <c r="U15" s="706">
        <f t="shared" si="1"/>
        <v>100</v>
      </c>
      <c r="V15" s="705" t="s">
        <v>14</v>
      </c>
      <c r="W15" s="706">
        <f t="shared" si="2"/>
        <v>100</v>
      </c>
      <c r="X15" s="1355"/>
      <c r="Y15" s="37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82"/>
      <c r="Q16" s="1352"/>
      <c r="R16" s="705"/>
      <c r="S16" s="706"/>
      <c r="T16" s="705"/>
      <c r="U16" s="706"/>
      <c r="V16" s="705"/>
      <c r="W16" s="706"/>
      <c r="X16" s="1355"/>
      <c r="Y16" s="378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82"/>
      <c r="Q17" s="1352" t="str">
        <f>B17</f>
        <v>商业繁华度</v>
      </c>
      <c r="R17" s="705" t="s">
        <v>14</v>
      </c>
      <c r="S17" s="706">
        <f>F17</f>
        <v>100</v>
      </c>
      <c r="T17" s="705" t="s">
        <v>14</v>
      </c>
      <c r="U17" s="706">
        <f>H17</f>
        <v>100</v>
      </c>
      <c r="V17" s="705" t="s">
        <v>14</v>
      </c>
      <c r="W17" s="706">
        <f>J17</f>
        <v>100</v>
      </c>
      <c r="X17" s="1355"/>
      <c r="Y17" s="37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82"/>
      <c r="Q18" s="1352"/>
      <c r="R18" s="705"/>
      <c r="S18" s="706"/>
      <c r="T18" s="705"/>
      <c r="U18" s="706"/>
      <c r="V18" s="705"/>
      <c r="W18" s="706"/>
      <c r="X18" s="1355"/>
      <c r="Y18" s="378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82"/>
      <c r="Q19" s="1352" t="str">
        <f>B19</f>
        <v>办公集聚程度</v>
      </c>
      <c r="R19" s="705" t="s">
        <v>14</v>
      </c>
      <c r="S19" s="706">
        <f>F19</f>
        <v>100</v>
      </c>
      <c r="T19" s="705" t="s">
        <v>14</v>
      </c>
      <c r="U19" s="706">
        <f>H19</f>
        <v>100</v>
      </c>
      <c r="V19" s="705" t="s">
        <v>14</v>
      </c>
      <c r="W19" s="706">
        <f>J19</f>
        <v>100</v>
      </c>
      <c r="X19" s="1355"/>
      <c r="Y19" s="37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82"/>
      <c r="Q20" s="1352"/>
      <c r="R20" s="705"/>
      <c r="S20" s="706"/>
      <c r="T20" s="705"/>
      <c r="U20" s="706"/>
      <c r="V20" s="705"/>
      <c r="W20" s="706"/>
      <c r="X20" s="1355"/>
      <c r="Y20" s="378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82"/>
      <c r="Q21" s="1352" t="str">
        <f>B21</f>
        <v>交通便捷度</v>
      </c>
      <c r="R21" s="705" t="s">
        <v>14</v>
      </c>
      <c r="S21" s="706">
        <f>F21</f>
        <v>100</v>
      </c>
      <c r="T21" s="705" t="s">
        <v>14</v>
      </c>
      <c r="U21" s="706">
        <f>H21</f>
        <v>100</v>
      </c>
      <c r="V21" s="705" t="s">
        <v>14</v>
      </c>
      <c r="W21" s="706">
        <f>J21</f>
        <v>100</v>
      </c>
      <c r="X21" s="1355"/>
      <c r="Y21" s="37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82"/>
      <c r="Q22" s="1352"/>
      <c r="R22" s="705"/>
      <c r="S22" s="706"/>
      <c r="T22" s="705"/>
      <c r="U22" s="706"/>
      <c r="V22" s="705"/>
      <c r="W22" s="706"/>
      <c r="X22" s="1355"/>
      <c r="Y22" s="378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82"/>
      <c r="Q23" s="1352" t="str">
        <f t="shared" ref="Q23:Q37" si="8">B23</f>
        <v>区域土地利用方向</v>
      </c>
      <c r="R23" s="705" t="s">
        <v>14</v>
      </c>
      <c r="S23" s="706">
        <f>F23</f>
        <v>100</v>
      </c>
      <c r="T23" s="705" t="s">
        <v>14</v>
      </c>
      <c r="U23" s="706">
        <f>H23</f>
        <v>100</v>
      </c>
      <c r="V23" s="705" t="s">
        <v>14</v>
      </c>
      <c r="W23" s="706">
        <f>J23</f>
        <v>100</v>
      </c>
      <c r="X23" s="1355"/>
      <c r="Y23" s="37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82"/>
      <c r="Q24" s="1352"/>
      <c r="R24" s="705"/>
      <c r="S24" s="706"/>
      <c r="T24" s="705"/>
      <c r="U24" s="706"/>
      <c r="V24" s="705"/>
      <c r="W24" s="706"/>
      <c r="X24" s="1355"/>
      <c r="Y24" s="378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82"/>
      <c r="Q25" s="1352" t="str">
        <f t="shared" si="8"/>
        <v>自然及人文环境状况</v>
      </c>
      <c r="R25" s="705" t="s">
        <v>14</v>
      </c>
      <c r="S25" s="706">
        <f>F25</f>
        <v>100</v>
      </c>
      <c r="T25" s="705" t="s">
        <v>14</v>
      </c>
      <c r="U25" s="706">
        <f>H25</f>
        <v>100</v>
      </c>
      <c r="V25" s="705" t="s">
        <v>14</v>
      </c>
      <c r="W25" s="706">
        <f>J25</f>
        <v>100</v>
      </c>
      <c r="X25" s="1355"/>
      <c r="Y25" s="37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82"/>
      <c r="Q26" s="1352"/>
      <c r="R26" s="705"/>
      <c r="S26" s="706"/>
      <c r="T26" s="705"/>
      <c r="U26" s="706"/>
      <c r="V26" s="705"/>
      <c r="W26" s="706"/>
      <c r="X26" s="1355"/>
      <c r="Y26" s="378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82"/>
      <c r="Q27" s="1343" t="str">
        <f t="shared" si="8"/>
        <v>公共配套设施</v>
      </c>
      <c r="R27" s="701" t="s">
        <v>14</v>
      </c>
      <c r="S27" s="702">
        <f>F27</f>
        <v>100</v>
      </c>
      <c r="T27" s="701" t="s">
        <v>14</v>
      </c>
      <c r="U27" s="702">
        <f>H27</f>
        <v>100</v>
      </c>
      <c r="V27" s="701" t="s">
        <v>14</v>
      </c>
      <c r="W27" s="702">
        <f>J27</f>
        <v>100</v>
      </c>
      <c r="X27" s="703"/>
      <c r="Y27" s="37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82"/>
      <c r="Q28" s="1343"/>
      <c r="R28" s="701"/>
      <c r="S28" s="702"/>
      <c r="T28" s="701"/>
      <c r="U28" s="702"/>
      <c r="V28" s="701"/>
      <c r="W28" s="702"/>
      <c r="X28" s="703"/>
      <c r="Y28" s="378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82"/>
      <c r="Q29" s="1343" t="str">
        <f t="shared" ref="Q29" si="9">B29</f>
        <v>基础设施水平</v>
      </c>
      <c r="R29" s="701" t="s">
        <v>14</v>
      </c>
      <c r="S29" s="702">
        <f>F29</f>
        <v>100</v>
      </c>
      <c r="T29" s="701" t="s">
        <v>14</v>
      </c>
      <c r="U29" s="702">
        <f>H29</f>
        <v>100</v>
      </c>
      <c r="V29" s="701" t="s">
        <v>14</v>
      </c>
      <c r="W29" s="702">
        <f>J29</f>
        <v>100</v>
      </c>
      <c r="X29" s="703"/>
      <c r="Y29" s="37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82"/>
      <c r="Q30" s="1343"/>
      <c r="R30" s="701"/>
      <c r="S30" s="702"/>
      <c r="T30" s="701"/>
      <c r="U30" s="702"/>
      <c r="V30" s="701"/>
      <c r="W30" s="702"/>
      <c r="X30" s="703"/>
      <c r="Y30" s="37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82"/>
      <c r="Q32" s="1352" t="str">
        <f t="shared" si="8"/>
        <v>毗邻道路的类型与等级</v>
      </c>
      <c r="R32" s="705" t="s">
        <v>14</v>
      </c>
      <c r="S32" s="706">
        <f t="shared" si="10"/>
        <v>100</v>
      </c>
      <c r="T32" s="705" t="s">
        <v>14</v>
      </c>
      <c r="U32" s="706">
        <f t="shared" si="11"/>
        <v>100</v>
      </c>
      <c r="V32" s="705" t="s">
        <v>14</v>
      </c>
      <c r="W32" s="706">
        <f t="shared" si="12"/>
        <v>100</v>
      </c>
      <c r="X32" s="1355"/>
      <c r="Y32" s="37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82"/>
      <c r="Q33" s="1352"/>
      <c r="R33" s="705"/>
      <c r="S33" s="706"/>
      <c r="T33" s="705"/>
      <c r="U33" s="706"/>
      <c r="V33" s="705"/>
      <c r="W33" s="706"/>
      <c r="X33" s="1355"/>
      <c r="Y33" s="37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82"/>
      <c r="Q34" s="1352" t="str">
        <f t="shared" si="8"/>
        <v>土地级别</v>
      </c>
      <c r="R34" s="705" t="s">
        <v>14</v>
      </c>
      <c r="S34" s="706">
        <f t="shared" si="10"/>
        <v>100</v>
      </c>
      <c r="T34" s="705" t="s">
        <v>14</v>
      </c>
      <c r="U34" s="706">
        <f t="shared" si="11"/>
        <v>100</v>
      </c>
      <c r="V34" s="705" t="s">
        <v>14</v>
      </c>
      <c r="W34" s="706">
        <f t="shared" si="12"/>
        <v>100</v>
      </c>
      <c r="X34" s="1355"/>
      <c r="Y34" s="37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82"/>
      <c r="Q35" s="1352">
        <f t="shared" si="8"/>
        <v>111</v>
      </c>
      <c r="R35" s="705" t="s">
        <v>14</v>
      </c>
      <c r="S35" s="706">
        <f t="shared" si="10"/>
        <v>100</v>
      </c>
      <c r="T35" s="705" t="s">
        <v>14</v>
      </c>
      <c r="U35" s="706">
        <f t="shared" si="11"/>
        <v>100</v>
      </c>
      <c r="V35" s="705" t="s">
        <v>14</v>
      </c>
      <c r="W35" s="706">
        <f t="shared" si="12"/>
        <v>100</v>
      </c>
      <c r="X35" s="1355"/>
      <c r="Y35" s="37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05" t="s">
        <v>1696</v>
      </c>
      <c r="Q36" s="1352">
        <f t="shared" si="8"/>
        <v>111</v>
      </c>
      <c r="R36" s="705" t="s">
        <v>14</v>
      </c>
      <c r="S36" s="706">
        <f t="shared" si="10"/>
        <v>100</v>
      </c>
      <c r="T36" s="705" t="s">
        <v>14</v>
      </c>
      <c r="U36" s="706">
        <f t="shared" si="11"/>
        <v>100</v>
      </c>
      <c r="V36" s="705" t="s">
        <v>14</v>
      </c>
      <c r="W36" s="706">
        <f t="shared" si="12"/>
        <v>100</v>
      </c>
      <c r="X36" s="1355"/>
      <c r="Y36" s="378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86"/>
      <c r="Q37" s="1352">
        <f t="shared" si="8"/>
        <v>111</v>
      </c>
      <c r="R37" s="708" t="s">
        <v>14</v>
      </c>
      <c r="S37" s="709">
        <f t="shared" si="10"/>
        <v>100</v>
      </c>
      <c r="T37" s="708" t="s">
        <v>14</v>
      </c>
      <c r="U37" s="709">
        <f t="shared" si="11"/>
        <v>100</v>
      </c>
      <c r="V37" s="708" t="s">
        <v>14</v>
      </c>
      <c r="W37" s="709">
        <f t="shared" si="12"/>
        <v>100</v>
      </c>
      <c r="X37" s="710"/>
      <c r="Y37" s="378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86"/>
      <c r="Q38" s="1352" t="str">
        <f>B38</f>
        <v>宗地面积</v>
      </c>
      <c r="R38" s="705" t="s">
        <v>14</v>
      </c>
      <c r="S38" s="706" t="e">
        <f t="shared" si="10"/>
        <v>#N/A</v>
      </c>
      <c r="T38" s="705" t="s">
        <v>14</v>
      </c>
      <c r="U38" s="706" t="e">
        <f t="shared" si="11"/>
        <v>#N/A</v>
      </c>
      <c r="V38" s="705" t="s">
        <v>14</v>
      </c>
      <c r="W38" s="706" t="e">
        <f t="shared" si="12"/>
        <v>#N/A</v>
      </c>
      <c r="X38" s="1355"/>
      <c r="Y38" s="378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86"/>
      <c r="Q39" s="1352" t="str">
        <f t="shared" ref="Q39:Q45" si="14">B39</f>
        <v>宗地形状</v>
      </c>
      <c r="R39" s="705" t="s">
        <v>14</v>
      </c>
      <c r="S39" s="706">
        <f t="shared" si="10"/>
        <v>100</v>
      </c>
      <c r="T39" s="705" t="s">
        <v>14</v>
      </c>
      <c r="U39" s="706">
        <f t="shared" si="11"/>
        <v>100</v>
      </c>
      <c r="V39" s="705" t="s">
        <v>14</v>
      </c>
      <c r="W39" s="706">
        <f t="shared" si="12"/>
        <v>100</v>
      </c>
      <c r="X39" s="1355"/>
      <c r="Y39" s="378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86"/>
      <c r="Q40" s="1352" t="str">
        <f t="shared" si="14"/>
        <v>临街宽度及深度</v>
      </c>
      <c r="R40" s="705" t="s">
        <v>14</v>
      </c>
      <c r="S40" s="706">
        <f t="shared" si="10"/>
        <v>100</v>
      </c>
      <c r="T40" s="705" t="s">
        <v>14</v>
      </c>
      <c r="U40" s="706">
        <f t="shared" si="11"/>
        <v>100</v>
      </c>
      <c r="V40" s="705" t="s">
        <v>14</v>
      </c>
      <c r="W40" s="706">
        <f t="shared" si="12"/>
        <v>100</v>
      </c>
      <c r="X40" s="1355"/>
      <c r="Y40" s="378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86"/>
      <c r="Q41" s="1352" t="str">
        <f t="shared" si="14"/>
        <v>宗地开发程度</v>
      </c>
      <c r="R41" s="701" t="s">
        <v>14</v>
      </c>
      <c r="S41" s="702">
        <f t="shared" si="10"/>
        <v>100</v>
      </c>
      <c r="T41" s="701" t="s">
        <v>14</v>
      </c>
      <c r="U41" s="702">
        <f t="shared" si="11"/>
        <v>100</v>
      </c>
      <c r="V41" s="701" t="s">
        <v>14</v>
      </c>
      <c r="W41" s="702">
        <f t="shared" si="12"/>
        <v>100</v>
      </c>
      <c r="X41" s="703"/>
      <c r="Y41" s="378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86" t="s">
        <v>1696</v>
      </c>
      <c r="Q42" s="1352" t="str">
        <f t="shared" si="14"/>
        <v>工程地质条件</v>
      </c>
      <c r="R42" s="705" t="s">
        <v>14</v>
      </c>
      <c r="S42" s="706">
        <f t="shared" si="10"/>
        <v>100</v>
      </c>
      <c r="T42" s="705" t="s">
        <v>14</v>
      </c>
      <c r="U42" s="706">
        <f t="shared" si="11"/>
        <v>100</v>
      </c>
      <c r="V42" s="705" t="s">
        <v>14</v>
      </c>
      <c r="W42" s="706">
        <f t="shared" si="12"/>
        <v>100</v>
      </c>
      <c r="X42" s="1355"/>
      <c r="Y42" s="37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86"/>
      <c r="Q43" s="1352">
        <f t="shared" si="14"/>
        <v>111</v>
      </c>
      <c r="R43" s="705" t="s">
        <v>14</v>
      </c>
      <c r="S43" s="706">
        <f t="shared" si="10"/>
        <v>100</v>
      </c>
      <c r="T43" s="705" t="s">
        <v>14</v>
      </c>
      <c r="U43" s="706">
        <f t="shared" si="11"/>
        <v>100</v>
      </c>
      <c r="V43" s="705" t="s">
        <v>14</v>
      </c>
      <c r="W43" s="706">
        <f t="shared" si="12"/>
        <v>100</v>
      </c>
      <c r="X43" s="1355"/>
      <c r="Y43" s="37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86"/>
      <c r="Q44" s="1352">
        <f t="shared" si="14"/>
        <v>111</v>
      </c>
      <c r="R44" s="705" t="s">
        <v>14</v>
      </c>
      <c r="S44" s="706">
        <f t="shared" si="10"/>
        <v>100</v>
      </c>
      <c r="T44" s="705" t="s">
        <v>14</v>
      </c>
      <c r="U44" s="706">
        <f t="shared" si="11"/>
        <v>100</v>
      </c>
      <c r="V44" s="705" t="s">
        <v>14</v>
      </c>
      <c r="W44" s="706">
        <f t="shared" si="12"/>
        <v>100</v>
      </c>
      <c r="X44" s="1355"/>
      <c r="Y44" s="378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86"/>
      <c r="Q45" s="1352">
        <f t="shared" si="14"/>
        <v>111</v>
      </c>
      <c r="R45" s="708" t="s">
        <v>14</v>
      </c>
      <c r="S45" s="709">
        <f t="shared" si="10"/>
        <v>100</v>
      </c>
      <c r="T45" s="708" t="s">
        <v>14</v>
      </c>
      <c r="U45" s="709">
        <f t="shared" si="11"/>
        <v>100</v>
      </c>
      <c r="V45" s="708" t="s">
        <v>14</v>
      </c>
      <c r="W45" s="709">
        <f t="shared" si="12"/>
        <v>100</v>
      </c>
      <c r="X45" s="710"/>
      <c r="Y45" s="378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79" t="str">
        <f>A46</f>
        <v>成交单价</v>
      </c>
      <c r="Q46" s="3779"/>
      <c r="R46" s="3774">
        <f>E46</f>
        <v>0</v>
      </c>
      <c r="S46" s="3774"/>
      <c r="T46" s="3774">
        <f>G46</f>
        <v>0</v>
      </c>
      <c r="U46" s="3774"/>
      <c r="V46" s="3774">
        <f>I46</f>
        <v>0</v>
      </c>
      <c r="W46" s="377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79" t="str">
        <f>A47</f>
        <v>比较价值（元/平方米）</v>
      </c>
      <c r="Q47" s="3779"/>
      <c r="R47" s="3807" t="e">
        <f>ROUND(PRODUCT(R46,AA7:AA45),0)</f>
        <v>#DIV/0!</v>
      </c>
      <c r="S47" s="3807"/>
      <c r="T47" s="3807" t="e">
        <f>ROUND(PRODUCT(T46,AB7:AB45),0)</f>
        <v>#DIV/0!</v>
      </c>
      <c r="U47" s="3807"/>
      <c r="V47" s="3807" t="e">
        <f>ROUND(PRODUCT(V46,AC7:AC45),0)</f>
        <v>#DIV/0!</v>
      </c>
      <c r="W47" s="380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76" t="str">
        <f>A48</f>
        <v>估价对象XX用房的比较价值（楼面单价，元/平方米）</v>
      </c>
      <c r="Q48" s="3777"/>
      <c r="R48" s="3808" t="e">
        <f>ROUND(IF(D47="简单平均",AVERAGE(R47:W47),R47*F47+T47*H47+V47*J47),0)</f>
        <v>#DIV/0!</v>
      </c>
      <c r="S48" s="3808"/>
      <c r="T48" s="3808"/>
      <c r="U48" s="3808"/>
      <c r="V48" s="3808"/>
      <c r="W48" s="380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62" t="s">
        <v>1887</v>
      </c>
      <c r="H55" s="380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2464.7399999999998</v>
      </c>
      <c r="F56" s="886" t="e">
        <f t="shared" ref="F56:F64" si="15">ROUND(B56*E56/10000,0)</f>
        <v>#DIV/0!</v>
      </c>
      <c r="G56" s="3761"/>
      <c r="H56" s="377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2464.7399999999998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5"/>
      <c r="M4" s="2716"/>
      <c r="N4" s="2716"/>
      <c r="O4" s="2716"/>
      <c r="P4" s="3766" t="s">
        <v>1775</v>
      </c>
      <c r="Q4" s="3767"/>
      <c r="R4" s="3749" t="s">
        <v>1771</v>
      </c>
      <c r="S4" s="3750"/>
      <c r="T4" s="3749" t="s">
        <v>1772</v>
      </c>
      <c r="U4" s="3750"/>
      <c r="V4" s="3774" t="s">
        <v>1773</v>
      </c>
      <c r="W4" s="3774"/>
      <c r="X4" s="1355"/>
      <c r="Y4" s="3749" t="s">
        <v>1775</v>
      </c>
      <c r="Z4" s="3750"/>
      <c r="AA4" s="3744" t="s">
        <v>1771</v>
      </c>
      <c r="AB4" s="3745" t="s">
        <v>1772</v>
      </c>
      <c r="AC4" s="3744" t="s">
        <v>1773</v>
      </c>
    </row>
    <row r="5" spans="1:29">
      <c r="A5" s="358"/>
      <c r="B5" s="359"/>
      <c r="C5" s="3755" t="s">
        <v>1673</v>
      </c>
      <c r="D5" s="3756"/>
      <c r="E5" s="3753" t="s">
        <v>1674</v>
      </c>
      <c r="F5" s="3754"/>
      <c r="G5" s="3755" t="s">
        <v>1675</v>
      </c>
      <c r="H5" s="3756"/>
      <c r="I5" s="3755" t="s">
        <v>1676</v>
      </c>
      <c r="J5" s="3756"/>
      <c r="K5" s="559"/>
      <c r="L5" s="2715"/>
      <c r="M5" s="2716"/>
      <c r="N5" s="2716"/>
      <c r="O5" s="2716"/>
      <c r="P5" s="3768"/>
      <c r="Q5" s="3769"/>
      <c r="R5" s="3751"/>
      <c r="S5" s="3752"/>
      <c r="T5" s="3751"/>
      <c r="U5" s="3752"/>
      <c r="V5" s="3774"/>
      <c r="W5" s="3774"/>
      <c r="X5" s="1355"/>
      <c r="Y5" s="3751"/>
      <c r="Z5" s="3752"/>
      <c r="AA5" s="3745"/>
      <c r="AB5" s="3745"/>
      <c r="AC5" s="3745"/>
    </row>
    <row r="6" spans="1:29" ht="15" thickBot="1">
      <c r="A6" s="360"/>
      <c r="B6" s="361"/>
      <c r="C6" s="3810" t="s">
        <v>1919</v>
      </c>
      <c r="D6" s="3811"/>
      <c r="E6" s="3812" t="s">
        <v>1919</v>
      </c>
      <c r="F6" s="3813"/>
      <c r="G6" s="3810" t="s">
        <v>1919</v>
      </c>
      <c r="H6" s="3811"/>
      <c r="I6" s="3810" t="s">
        <v>1919</v>
      </c>
      <c r="J6" s="3811"/>
      <c r="K6" s="559" t="s">
        <v>1678</v>
      </c>
      <c r="L6" s="2715"/>
      <c r="M6" s="2716"/>
      <c r="N6" s="2716"/>
      <c r="O6" s="2716"/>
      <c r="P6" s="3770"/>
      <c r="Q6" s="3771"/>
      <c r="R6" s="3751"/>
      <c r="S6" s="3752"/>
      <c r="T6" s="3772"/>
      <c r="U6" s="3773"/>
      <c r="V6" s="3774"/>
      <c r="W6" s="3774"/>
      <c r="X6" s="1355"/>
      <c r="Y6" s="3772"/>
      <c r="Z6" s="3773"/>
      <c r="AA6" s="3746"/>
      <c r="AB6" s="3746"/>
      <c r="AC6" s="3746"/>
    </row>
    <row r="7" spans="1:29" s="108" customFormat="1" ht="15" thickBot="1">
      <c r="A7" s="362" t="s">
        <v>1679</v>
      </c>
      <c r="B7" s="363"/>
      <c r="C7" s="364">
        <f>'数据-取费表'!B2</f>
        <v>45680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7" t="s">
        <v>1680</v>
      </c>
      <c r="Q7" s="3775"/>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7" t="s">
        <v>1683</v>
      </c>
      <c r="Q8" s="3748"/>
      <c r="R8" s="701" t="s">
        <v>14</v>
      </c>
      <c r="S8" s="702">
        <f t="shared" si="0"/>
        <v>0</v>
      </c>
      <c r="T8" s="701" t="s">
        <v>14</v>
      </c>
      <c r="U8" s="702">
        <f t="shared" si="1"/>
        <v>0</v>
      </c>
      <c r="V8" s="701" t="s">
        <v>14</v>
      </c>
      <c r="W8" s="702">
        <f t="shared" si="2"/>
        <v>0</v>
      </c>
      <c r="X8" s="703"/>
      <c r="Y8" s="3747" t="s">
        <v>1683</v>
      </c>
      <c r="Z8" s="374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79"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79"/>
      <c r="Q10" s="1343" t="str">
        <f t="shared" si="6"/>
        <v>土地使用年限（年）</v>
      </c>
      <c r="R10" s="701" t="s">
        <v>14</v>
      </c>
      <c r="S10" s="702">
        <f t="shared" si="0"/>
        <v>133</v>
      </c>
      <c r="T10" s="701" t="s">
        <v>14</v>
      </c>
      <c r="U10" s="702">
        <f t="shared" si="1"/>
        <v>133</v>
      </c>
      <c r="V10" s="701" t="s">
        <v>14</v>
      </c>
      <c r="W10" s="702">
        <f t="shared" si="2"/>
        <v>133</v>
      </c>
      <c r="X10" s="703"/>
      <c r="Y10" s="3640"/>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79"/>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79"/>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79"/>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79"/>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81" t="s">
        <v>1691</v>
      </c>
      <c r="Q15" s="1352" t="str">
        <f t="shared" si="6"/>
        <v>产业集聚程度</v>
      </c>
      <c r="R15" s="705" t="s">
        <v>14</v>
      </c>
      <c r="S15" s="706">
        <f t="shared" si="0"/>
        <v>100</v>
      </c>
      <c r="T15" s="705" t="s">
        <v>14</v>
      </c>
      <c r="U15" s="706">
        <f t="shared" si="1"/>
        <v>100</v>
      </c>
      <c r="V15" s="705" t="s">
        <v>14</v>
      </c>
      <c r="W15" s="706">
        <f t="shared" si="2"/>
        <v>100</v>
      </c>
      <c r="X15" s="1355"/>
      <c r="Y15" s="37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82"/>
      <c r="Q16" s="1352"/>
      <c r="R16" s="705"/>
      <c r="S16" s="706"/>
      <c r="T16" s="705"/>
      <c r="U16" s="706"/>
      <c r="V16" s="705"/>
      <c r="W16" s="706"/>
      <c r="X16" s="1355"/>
      <c r="Y16" s="378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82"/>
      <c r="Q17" s="1352" t="str">
        <f>B17</f>
        <v>交通便捷度</v>
      </c>
      <c r="R17" s="705" t="s">
        <v>14</v>
      </c>
      <c r="S17" s="706">
        <f>F17</f>
        <v>100</v>
      </c>
      <c r="T17" s="705" t="s">
        <v>14</v>
      </c>
      <c r="U17" s="706">
        <f>H17</f>
        <v>100</v>
      </c>
      <c r="V17" s="705" t="s">
        <v>14</v>
      </c>
      <c r="W17" s="706">
        <f>J17</f>
        <v>100</v>
      </c>
      <c r="X17" s="1355"/>
      <c r="Y17" s="37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82"/>
      <c r="Q18" s="1352"/>
      <c r="R18" s="705"/>
      <c r="S18" s="706"/>
      <c r="T18" s="705"/>
      <c r="U18" s="706"/>
      <c r="V18" s="705"/>
      <c r="W18" s="706"/>
      <c r="X18" s="1355"/>
      <c r="Y18" s="378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82"/>
      <c r="Q19" s="1352" t="str">
        <f t="shared" ref="Q19:Q33" si="8">B19</f>
        <v>区域土地利用方向</v>
      </c>
      <c r="R19" s="705" t="s">
        <v>14</v>
      </c>
      <c r="S19" s="706">
        <f>F19</f>
        <v>100</v>
      </c>
      <c r="T19" s="705" t="s">
        <v>14</v>
      </c>
      <c r="U19" s="706">
        <f>H19</f>
        <v>100</v>
      </c>
      <c r="V19" s="705" t="s">
        <v>14</v>
      </c>
      <c r="W19" s="706">
        <f>J19</f>
        <v>100</v>
      </c>
      <c r="X19" s="1355"/>
      <c r="Y19" s="37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82"/>
      <c r="Q20" s="1352"/>
      <c r="R20" s="705"/>
      <c r="S20" s="706"/>
      <c r="T20" s="705"/>
      <c r="U20" s="706"/>
      <c r="V20" s="705"/>
      <c r="W20" s="706"/>
      <c r="X20" s="1355"/>
      <c r="Y20" s="378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82"/>
      <c r="Q21" s="1352" t="str">
        <f t="shared" si="8"/>
        <v>环境状况</v>
      </c>
      <c r="R21" s="705" t="s">
        <v>14</v>
      </c>
      <c r="S21" s="706">
        <f>F21</f>
        <v>100</v>
      </c>
      <c r="T21" s="705" t="s">
        <v>14</v>
      </c>
      <c r="U21" s="706">
        <f>H21</f>
        <v>100</v>
      </c>
      <c r="V21" s="705" t="s">
        <v>14</v>
      </c>
      <c r="W21" s="706">
        <f>J21</f>
        <v>100</v>
      </c>
      <c r="X21" s="1355"/>
      <c r="Y21" s="37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82"/>
      <c r="Q22" s="1352"/>
      <c r="R22" s="705"/>
      <c r="S22" s="706"/>
      <c r="T22" s="705"/>
      <c r="U22" s="706"/>
      <c r="V22" s="705"/>
      <c r="W22" s="706"/>
      <c r="X22" s="1355"/>
      <c r="Y22" s="378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82"/>
      <c r="Q23" s="1343" t="str">
        <f t="shared" si="8"/>
        <v>公共配套设施</v>
      </c>
      <c r="R23" s="701" t="s">
        <v>14</v>
      </c>
      <c r="S23" s="702">
        <f>F23</f>
        <v>100</v>
      </c>
      <c r="T23" s="701" t="s">
        <v>14</v>
      </c>
      <c r="U23" s="702">
        <f>H23</f>
        <v>100</v>
      </c>
      <c r="V23" s="701" t="s">
        <v>14</v>
      </c>
      <c r="W23" s="702">
        <f>J23</f>
        <v>100</v>
      </c>
      <c r="X23" s="703"/>
      <c r="Y23" s="37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82"/>
      <c r="Q24" s="1343"/>
      <c r="R24" s="701"/>
      <c r="S24" s="702"/>
      <c r="T24" s="701"/>
      <c r="U24" s="702"/>
      <c r="V24" s="701"/>
      <c r="W24" s="702"/>
      <c r="X24" s="703"/>
      <c r="Y24" s="378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82"/>
      <c r="Q25" s="1343" t="str">
        <f t="shared" ref="Q25" si="9">B25</f>
        <v>基础设施水平</v>
      </c>
      <c r="R25" s="701" t="s">
        <v>14</v>
      </c>
      <c r="S25" s="702">
        <f>F25</f>
        <v>100</v>
      </c>
      <c r="T25" s="701" t="s">
        <v>14</v>
      </c>
      <c r="U25" s="702">
        <f>H25</f>
        <v>100</v>
      </c>
      <c r="V25" s="701" t="s">
        <v>14</v>
      </c>
      <c r="W25" s="702">
        <f>J25</f>
        <v>100</v>
      </c>
      <c r="X25" s="703"/>
      <c r="Y25" s="37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82"/>
      <c r="Q26" s="1343"/>
      <c r="R26" s="701"/>
      <c r="S26" s="702"/>
      <c r="T26" s="701"/>
      <c r="U26" s="702"/>
      <c r="V26" s="701"/>
      <c r="W26" s="702"/>
      <c r="X26" s="703"/>
      <c r="Y26" s="37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82"/>
      <c r="Q28" s="1352" t="str">
        <f t="shared" si="8"/>
        <v>毗邻道路的类型与等级</v>
      </c>
      <c r="R28" s="705" t="s">
        <v>14</v>
      </c>
      <c r="S28" s="706">
        <f t="shared" si="10"/>
        <v>100</v>
      </c>
      <c r="T28" s="705" t="s">
        <v>14</v>
      </c>
      <c r="U28" s="706">
        <f t="shared" si="11"/>
        <v>100</v>
      </c>
      <c r="V28" s="705" t="s">
        <v>14</v>
      </c>
      <c r="W28" s="706">
        <f t="shared" si="12"/>
        <v>100</v>
      </c>
      <c r="X28" s="1355"/>
      <c r="Y28" s="37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82"/>
      <c r="Q29" s="1352"/>
      <c r="R29" s="705"/>
      <c r="S29" s="706"/>
      <c r="T29" s="705"/>
      <c r="U29" s="706"/>
      <c r="V29" s="705"/>
      <c r="W29" s="706"/>
      <c r="X29" s="1355"/>
      <c r="Y29" s="37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82"/>
      <c r="Q30" s="1352" t="str">
        <f t="shared" si="8"/>
        <v>土地级别</v>
      </c>
      <c r="R30" s="705" t="s">
        <v>14</v>
      </c>
      <c r="S30" s="706">
        <f t="shared" si="10"/>
        <v>100</v>
      </c>
      <c r="T30" s="705" t="s">
        <v>14</v>
      </c>
      <c r="U30" s="706">
        <f t="shared" si="11"/>
        <v>100</v>
      </c>
      <c r="V30" s="705" t="s">
        <v>14</v>
      </c>
      <c r="W30" s="706">
        <f t="shared" si="12"/>
        <v>100</v>
      </c>
      <c r="X30" s="1355"/>
      <c r="Y30" s="37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82"/>
      <c r="Q31" s="1352">
        <f t="shared" si="8"/>
        <v>111</v>
      </c>
      <c r="R31" s="705" t="s">
        <v>14</v>
      </c>
      <c r="S31" s="706">
        <f t="shared" si="10"/>
        <v>100</v>
      </c>
      <c r="T31" s="705" t="s">
        <v>14</v>
      </c>
      <c r="U31" s="706">
        <f t="shared" si="11"/>
        <v>100</v>
      </c>
      <c r="V31" s="705" t="s">
        <v>14</v>
      </c>
      <c r="W31" s="706">
        <f t="shared" si="12"/>
        <v>100</v>
      </c>
      <c r="X31" s="1355"/>
      <c r="Y31" s="37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05" t="s">
        <v>1696</v>
      </c>
      <c r="Q32" s="1352">
        <f t="shared" si="8"/>
        <v>111</v>
      </c>
      <c r="R32" s="705" t="s">
        <v>14</v>
      </c>
      <c r="S32" s="706">
        <f t="shared" si="10"/>
        <v>100</v>
      </c>
      <c r="T32" s="705" t="s">
        <v>14</v>
      </c>
      <c r="U32" s="706">
        <f t="shared" si="11"/>
        <v>100</v>
      </c>
      <c r="V32" s="705" t="s">
        <v>14</v>
      </c>
      <c r="W32" s="706">
        <f t="shared" si="12"/>
        <v>100</v>
      </c>
      <c r="X32" s="1355"/>
      <c r="Y32" s="378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86"/>
      <c r="Q33" s="1352">
        <f t="shared" si="8"/>
        <v>111</v>
      </c>
      <c r="R33" s="708" t="s">
        <v>14</v>
      </c>
      <c r="S33" s="709">
        <f t="shared" si="10"/>
        <v>100</v>
      </c>
      <c r="T33" s="708" t="s">
        <v>14</v>
      </c>
      <c r="U33" s="709">
        <f t="shared" si="11"/>
        <v>100</v>
      </c>
      <c r="V33" s="708" t="s">
        <v>14</v>
      </c>
      <c r="W33" s="709">
        <f t="shared" si="12"/>
        <v>100</v>
      </c>
      <c r="X33" s="710"/>
      <c r="Y33" s="37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86"/>
      <c r="Q34" s="1352" t="str">
        <f>B34</f>
        <v>宗地面积</v>
      </c>
      <c r="R34" s="705" t="s">
        <v>14</v>
      </c>
      <c r="S34" s="706" t="e">
        <f t="shared" si="10"/>
        <v>#N/A</v>
      </c>
      <c r="T34" s="705" t="s">
        <v>14</v>
      </c>
      <c r="U34" s="706" t="e">
        <f t="shared" si="11"/>
        <v>#N/A</v>
      </c>
      <c r="V34" s="705" t="s">
        <v>14</v>
      </c>
      <c r="W34" s="706" t="e">
        <f t="shared" si="12"/>
        <v>#N/A</v>
      </c>
      <c r="X34" s="1355"/>
      <c r="Y34" s="378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86"/>
      <c r="Q35" s="1352" t="str">
        <f t="shared" ref="Q35:Q40" si="14">B35</f>
        <v>宗地形状</v>
      </c>
      <c r="R35" s="705" t="s">
        <v>14</v>
      </c>
      <c r="S35" s="706">
        <f t="shared" si="10"/>
        <v>100</v>
      </c>
      <c r="T35" s="705" t="s">
        <v>14</v>
      </c>
      <c r="U35" s="706">
        <f t="shared" si="11"/>
        <v>100</v>
      </c>
      <c r="V35" s="705" t="s">
        <v>14</v>
      </c>
      <c r="W35" s="706">
        <f t="shared" si="12"/>
        <v>100</v>
      </c>
      <c r="X35" s="1355"/>
      <c r="Y35" s="378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86"/>
      <c r="Q36" s="1352" t="str">
        <f t="shared" si="14"/>
        <v>宗地开发程度</v>
      </c>
      <c r="R36" s="701" t="s">
        <v>14</v>
      </c>
      <c r="S36" s="702">
        <f t="shared" si="10"/>
        <v>100</v>
      </c>
      <c r="T36" s="701" t="s">
        <v>14</v>
      </c>
      <c r="U36" s="702">
        <f t="shared" si="11"/>
        <v>100</v>
      </c>
      <c r="V36" s="701" t="s">
        <v>14</v>
      </c>
      <c r="W36" s="702">
        <f t="shared" si="12"/>
        <v>100</v>
      </c>
      <c r="X36" s="703"/>
      <c r="Y36" s="378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86" t="s">
        <v>1696</v>
      </c>
      <c r="Q37" s="1352" t="str">
        <f t="shared" si="14"/>
        <v>工程地质条件</v>
      </c>
      <c r="R37" s="705" t="s">
        <v>14</v>
      </c>
      <c r="S37" s="706">
        <f t="shared" si="10"/>
        <v>100</v>
      </c>
      <c r="T37" s="705" t="s">
        <v>14</v>
      </c>
      <c r="U37" s="706">
        <f t="shared" si="11"/>
        <v>100</v>
      </c>
      <c r="V37" s="705" t="s">
        <v>14</v>
      </c>
      <c r="W37" s="706">
        <f t="shared" si="12"/>
        <v>100</v>
      </c>
      <c r="X37" s="1355"/>
      <c r="Y37" s="37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86"/>
      <c r="Q38" s="1352">
        <f t="shared" si="14"/>
        <v>111</v>
      </c>
      <c r="R38" s="705" t="s">
        <v>14</v>
      </c>
      <c r="S38" s="706">
        <f t="shared" si="10"/>
        <v>100</v>
      </c>
      <c r="T38" s="705" t="s">
        <v>14</v>
      </c>
      <c r="U38" s="706">
        <f t="shared" si="11"/>
        <v>100</v>
      </c>
      <c r="V38" s="705" t="s">
        <v>14</v>
      </c>
      <c r="W38" s="706">
        <f t="shared" si="12"/>
        <v>100</v>
      </c>
      <c r="X38" s="1355"/>
      <c r="Y38" s="37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86"/>
      <c r="Q39" s="1352">
        <f t="shared" si="14"/>
        <v>111</v>
      </c>
      <c r="R39" s="705" t="s">
        <v>14</v>
      </c>
      <c r="S39" s="706">
        <f t="shared" si="10"/>
        <v>100</v>
      </c>
      <c r="T39" s="705" t="s">
        <v>14</v>
      </c>
      <c r="U39" s="706">
        <f t="shared" si="11"/>
        <v>100</v>
      </c>
      <c r="V39" s="705" t="s">
        <v>14</v>
      </c>
      <c r="W39" s="706">
        <f t="shared" si="12"/>
        <v>100</v>
      </c>
      <c r="X39" s="1355"/>
      <c r="Y39" s="378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86"/>
      <c r="Q40" s="1352">
        <f t="shared" si="14"/>
        <v>111</v>
      </c>
      <c r="R40" s="708" t="s">
        <v>14</v>
      </c>
      <c r="S40" s="709">
        <f t="shared" si="10"/>
        <v>100</v>
      </c>
      <c r="T40" s="708" t="s">
        <v>14</v>
      </c>
      <c r="U40" s="709">
        <f t="shared" si="11"/>
        <v>100</v>
      </c>
      <c r="V40" s="708" t="s">
        <v>14</v>
      </c>
      <c r="W40" s="709">
        <f t="shared" si="12"/>
        <v>100</v>
      </c>
      <c r="X40" s="710"/>
      <c r="Y40" s="378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79" t="str">
        <f>A41</f>
        <v>成交单价</v>
      </c>
      <c r="Q41" s="3779"/>
      <c r="R41" s="3774">
        <f>E41</f>
        <v>0</v>
      </c>
      <c r="S41" s="3774"/>
      <c r="T41" s="3774">
        <f>G41</f>
        <v>0</v>
      </c>
      <c r="U41" s="3774"/>
      <c r="V41" s="3774">
        <f>I41</f>
        <v>0</v>
      </c>
      <c r="W41" s="377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79" t="str">
        <f>A42</f>
        <v>比较价值（元/平方米）</v>
      </c>
      <c r="Q42" s="3779"/>
      <c r="R42" s="3807" t="e">
        <f>ROUND(PRODUCT(R41,AA7:AA40),0)</f>
        <v>#DIV/0!</v>
      </c>
      <c r="S42" s="3807"/>
      <c r="T42" s="3807" t="e">
        <f>ROUND(PRODUCT(T41,AB7:AB40),0)</f>
        <v>#DIV/0!</v>
      </c>
      <c r="U42" s="3807"/>
      <c r="V42" s="3807" t="e">
        <f>ROUND(PRODUCT(V41,AC7:AC40),0)</f>
        <v>#DIV/0!</v>
      </c>
      <c r="W42" s="380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76" t="str">
        <f>A43</f>
        <v>估价对象XX用房的比较价值（楼面单价，元/平方米）</v>
      </c>
      <c r="Q43" s="3777"/>
      <c r="R43" s="3808" t="e">
        <f>ROUND(IF(D42="简单平均",AVERAGE(R42:W42),R42*F42+T42*H42+V42*J42),0)</f>
        <v>#DIV/0!</v>
      </c>
      <c r="S43" s="3808"/>
      <c r="T43" s="3808"/>
      <c r="U43" s="3808"/>
      <c r="V43" s="3808"/>
      <c r="W43" s="380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62" t="s">
        <v>1887</v>
      </c>
      <c r="H50" s="380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2464.7399999999998</v>
      </c>
      <c r="F51" s="639" t="e">
        <f t="shared" ref="F51:F60" si="15">ROUND(B51*E51/10000,0)</f>
        <v>#DIV/0!</v>
      </c>
      <c r="G51" s="3761"/>
      <c r="H51" s="377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3333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7" t="s">
        <v>2084</v>
      </c>
      <c r="D1" s="3818"/>
      <c r="E1" s="3818"/>
      <c r="F1" s="3818"/>
      <c r="G1" s="3818"/>
      <c r="H1" s="3818"/>
      <c r="I1" s="3818"/>
      <c r="J1" s="3818"/>
      <c r="K1" s="3818"/>
      <c r="L1" s="3818"/>
      <c r="M1" s="3818"/>
      <c r="N1" s="3818"/>
      <c r="O1" s="3818"/>
      <c r="P1" s="3818"/>
      <c r="Q1" s="3818"/>
      <c r="R1" s="3818"/>
      <c r="S1" s="381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4" t="s">
        <v>27</v>
      </c>
      <c r="D22" s="3815"/>
      <c r="E22" s="3815"/>
      <c r="F22" s="3815"/>
      <c r="G22" s="3815"/>
      <c r="H22" s="3815"/>
      <c r="I22" s="3815"/>
      <c r="J22" s="3815"/>
      <c r="K22" s="3815"/>
      <c r="L22" s="3815"/>
      <c r="M22" s="3815"/>
      <c r="N22" s="3815"/>
      <c r="O22" s="3815"/>
      <c r="P22" s="3815"/>
      <c r="Q22" s="381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估价结果一览表（市场价值不需“结果表-1”）</v>
      </c>
      <c r="B3" s="3487"/>
      <c r="C3" s="3487"/>
      <c r="D3" s="3487"/>
      <c r="E3" s="3487"/>
    </row>
    <row r="4" spans="1:5" ht="18" thickBot="1">
      <c r="A4" s="1493"/>
      <c r="B4" s="3485" t="s">
        <v>917</v>
      </c>
      <c r="C4" s="3485"/>
      <c r="D4" s="3485"/>
      <c r="E4" s="1493"/>
    </row>
    <row r="5" spans="1:5" ht="16.2" thickTop="1">
      <c r="A5" s="1491"/>
      <c r="B5" s="3483" t="s">
        <v>909</v>
      </c>
      <c r="C5" s="1494" t="s">
        <v>910</v>
      </c>
      <c r="D5" s="850" t="e">
        <f ca="1">结果表!H101</f>
        <v>#REF!</v>
      </c>
      <c r="E5" s="1491"/>
    </row>
    <row r="6" spans="1:5" ht="15.6">
      <c r="A6" s="1491"/>
      <c r="B6" s="3483"/>
      <c r="C6" s="1494" t="s">
        <v>911</v>
      </c>
      <c r="D6" s="850" t="e">
        <f ca="1">NUMBERSTRING(INT(D5*10000),2)&amp;"元整"</f>
        <v>#REF!</v>
      </c>
      <c r="E6" s="1491"/>
    </row>
    <row r="7" spans="1:5" ht="15.6">
      <c r="A7" s="1491"/>
      <c r="B7" s="3488"/>
      <c r="C7" s="1495" t="s">
        <v>912</v>
      </c>
      <c r="D7" s="851" t="e">
        <f ca="1">结果表!H102</f>
        <v>#REF!</v>
      </c>
      <c r="E7" s="1491"/>
    </row>
    <row r="8" spans="1:5" ht="15.6">
      <c r="A8" s="1491"/>
      <c r="B8" s="3489" t="str">
        <f>结果表!E103</f>
        <v>2.估价师知悉的法定优先受偿款</v>
      </c>
      <c r="C8" s="1496" t="s">
        <v>913</v>
      </c>
      <c r="D8" s="851">
        <f>结果表!H103</f>
        <v>0</v>
      </c>
      <c r="E8" s="1491"/>
    </row>
    <row r="9" spans="1:5" ht="15.6">
      <c r="A9" s="1491"/>
      <c r="B9" s="349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2" t="str">
        <f>结果表!E107</f>
        <v>3.房地产抵押价值</v>
      </c>
      <c r="C13" s="1499" t="s">
        <v>910</v>
      </c>
      <c r="D13" s="853" t="e">
        <f ca="1">结果表!H107</f>
        <v>#REF!</v>
      </c>
      <c r="E13" s="1491"/>
    </row>
    <row r="14" spans="1:5" ht="15.6">
      <c r="A14" s="1491"/>
      <c r="B14" s="3483"/>
      <c r="C14" s="1494" t="s">
        <v>911</v>
      </c>
      <c r="D14" s="850" t="e">
        <f ca="1">NUMBERSTRING(INT(D13*10000),2)&amp;"元整"</f>
        <v>#REF!</v>
      </c>
      <c r="E14" s="1491"/>
    </row>
    <row r="15" spans="1:5" ht="15.6">
      <c r="A15" s="1491"/>
      <c r="B15" s="3488"/>
      <c r="C15" s="1495" t="s">
        <v>921</v>
      </c>
      <c r="D15" s="859" t="e">
        <f ca="1">结果表!H108</f>
        <v>#REF!</v>
      </c>
      <c r="E15" s="1491"/>
    </row>
    <row r="16" spans="1:5" ht="15.6">
      <c r="A16" s="1491"/>
      <c r="B16" s="3489" t="str">
        <f>结果表!E109</f>
        <v>——</v>
      </c>
      <c r="C16" s="1499" t="s">
        <v>922</v>
      </c>
      <c r="D16" s="1500" t="str">
        <f>结果表!H109</f>
        <v>——</v>
      </c>
      <c r="E16" s="1491"/>
    </row>
    <row r="17" spans="1:5" ht="15.6">
      <c r="A17" s="1491"/>
      <c r="B17" s="3490"/>
      <c r="C17" s="1494" t="s">
        <v>923</v>
      </c>
      <c r="D17" s="850" t="e">
        <f>NUMBERSTRING(INT(D16*10000),2)&amp;"元整"</f>
        <v>#VALUE!</v>
      </c>
      <c r="E17" s="1491"/>
    </row>
    <row r="18" spans="1:5" ht="15.6">
      <c r="A18" s="1491"/>
      <c r="B18" s="3491"/>
      <c r="C18" s="1495" t="s">
        <v>912</v>
      </c>
      <c r="D18" s="859" t="str">
        <f>结果表!H110</f>
        <v>——</v>
      </c>
      <c r="E18" s="1491"/>
    </row>
    <row r="19" spans="1:5" ht="15.6">
      <c r="A19" s="1491"/>
      <c r="B19" s="3482" t="str">
        <f>结果表!E111</f>
        <v>——</v>
      </c>
      <c r="C19" s="1499" t="s">
        <v>910</v>
      </c>
      <c r="D19" s="851" t="str">
        <f>结果表!H111</f>
        <v>——</v>
      </c>
      <c r="E19" s="1491"/>
    </row>
    <row r="20" spans="1:5" ht="15.6">
      <c r="A20" s="1491"/>
      <c r="B20" s="3483"/>
      <c r="C20" s="1494" t="s">
        <v>923</v>
      </c>
      <c r="D20" s="850" t="e">
        <f>NUMBERSTRING(INT(D19*10000),2)&amp;"元整"</f>
        <v>#VALUE!</v>
      </c>
      <c r="E20" s="1491"/>
    </row>
    <row r="21" spans="1:5" ht="16.2" thickBot="1">
      <c r="A21" s="1491"/>
      <c r="B21" s="348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27" t="s">
        <v>2606</v>
      </c>
      <c r="B20" s="3820" t="s">
        <v>2627</v>
      </c>
      <c r="C20" s="3103" t="s">
        <v>2438</v>
      </c>
      <c r="D20" s="3104"/>
      <c r="E20" s="3105">
        <v>1</v>
      </c>
      <c r="F20" s="3106" t="s">
        <v>2439</v>
      </c>
      <c r="G20" s="3106"/>
    </row>
    <row r="21" spans="1:13" ht="19.5" customHeight="1">
      <c r="A21" s="3828"/>
      <c r="B21" s="3821"/>
      <c r="C21" s="3107" t="s">
        <v>2440</v>
      </c>
      <c r="D21" s="3108"/>
      <c r="E21" s="3109">
        <v>1</v>
      </c>
      <c r="F21" s="3106" t="s">
        <v>2441</v>
      </c>
      <c r="G21" s="3106"/>
    </row>
    <row r="22" spans="1:13" ht="19.5" customHeight="1">
      <c r="A22" s="3828"/>
      <c r="B22" s="3821"/>
      <c r="C22" s="3107" t="s">
        <v>2442</v>
      </c>
      <c r="D22" s="3108"/>
      <c r="E22" s="3109">
        <v>0.9</v>
      </c>
      <c r="F22" s="3106" t="s">
        <v>2443</v>
      </c>
      <c r="G22" s="3106"/>
    </row>
    <row r="23" spans="1:13" ht="19.5" customHeight="1">
      <c r="A23" s="3828"/>
      <c r="B23" s="3821"/>
      <c r="C23" s="3107" t="s">
        <v>2444</v>
      </c>
      <c r="D23" s="3108"/>
      <c r="E23" s="3109">
        <v>0.9</v>
      </c>
      <c r="F23" s="3106" t="s">
        <v>2445</v>
      </c>
      <c r="G23" s="3106"/>
    </row>
    <row r="24" spans="1:13" ht="19.5" customHeight="1">
      <c r="A24" s="3828"/>
      <c r="B24" s="3821"/>
      <c r="C24" s="3107" t="s">
        <v>2446</v>
      </c>
      <c r="D24" s="3108"/>
      <c r="E24" s="3109">
        <v>0.8</v>
      </c>
      <c r="F24" s="3106" t="s">
        <v>2447</v>
      </c>
      <c r="G24" s="3106"/>
    </row>
    <row r="25" spans="1:13" ht="19.5" customHeight="1" thickBot="1">
      <c r="A25" s="3829"/>
      <c r="B25" s="3822"/>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823" t="s">
        <v>2630</v>
      </c>
      <c r="B27" s="3820" t="s">
        <v>2611</v>
      </c>
      <c r="C27" s="3103" t="s">
        <v>2451</v>
      </c>
      <c r="D27" s="3104"/>
      <c r="E27" s="3105">
        <v>1</v>
      </c>
      <c r="F27" s="3106" t="s">
        <v>2452</v>
      </c>
      <c r="G27" s="3106"/>
    </row>
    <row r="28" spans="1:13" ht="19.5" customHeight="1">
      <c r="A28" s="3824"/>
      <c r="B28" s="3821"/>
      <c r="C28" s="3107" t="s">
        <v>2453</v>
      </c>
      <c r="D28" s="3108"/>
      <c r="E28" s="3109">
        <v>1</v>
      </c>
      <c r="F28" s="3106" t="s">
        <v>2454</v>
      </c>
      <c r="G28" s="3106"/>
    </row>
    <row r="29" spans="1:13" ht="19.5" customHeight="1">
      <c r="A29" s="3824"/>
      <c r="B29" s="3821"/>
      <c r="C29" s="3107" t="s">
        <v>2455</v>
      </c>
      <c r="D29" s="3108"/>
      <c r="E29" s="3109">
        <v>0.8</v>
      </c>
      <c r="F29" s="3106" t="s">
        <v>2456</v>
      </c>
      <c r="G29" s="3106"/>
    </row>
    <row r="30" spans="1:13" ht="19.5" customHeight="1">
      <c r="A30" s="3824"/>
      <c r="B30" s="3821"/>
      <c r="C30" s="3107" t="s">
        <v>2457</v>
      </c>
      <c r="D30" s="3108"/>
      <c r="E30" s="3109">
        <v>0.8</v>
      </c>
      <c r="F30" s="3106" t="s">
        <v>2458</v>
      </c>
      <c r="G30" s="3106"/>
    </row>
    <row r="31" spans="1:13" ht="19.5" customHeight="1">
      <c r="A31" s="3824"/>
      <c r="B31" s="3821"/>
      <c r="C31" s="3107" t="s">
        <v>2459</v>
      </c>
      <c r="D31" s="3108"/>
      <c r="E31" s="3109">
        <v>0.8</v>
      </c>
      <c r="F31" s="3106" t="s">
        <v>2460</v>
      </c>
      <c r="G31" s="3106"/>
    </row>
    <row r="32" spans="1:13" ht="19.5" customHeight="1">
      <c r="A32" s="3824"/>
      <c r="B32" s="3821"/>
      <c r="C32" s="3107" t="s">
        <v>2461</v>
      </c>
      <c r="D32" s="3108"/>
      <c r="E32" s="3109">
        <v>0.7</v>
      </c>
      <c r="F32" s="3106" t="s">
        <v>2462</v>
      </c>
      <c r="G32" s="3106"/>
    </row>
    <row r="33" spans="1:7" ht="19.5" customHeight="1">
      <c r="A33" s="3824"/>
      <c r="B33" s="3821"/>
      <c r="C33" s="3107" t="s">
        <v>2463</v>
      </c>
      <c r="D33" s="3108"/>
      <c r="E33" s="3109">
        <v>0.8</v>
      </c>
      <c r="F33" s="3106" t="s">
        <v>2464</v>
      </c>
      <c r="G33" s="3106"/>
    </row>
    <row r="34" spans="1:7" ht="19.5" customHeight="1">
      <c r="A34" s="3824"/>
      <c r="B34" s="3821"/>
      <c r="C34" s="3107" t="s">
        <v>2465</v>
      </c>
      <c r="D34" s="3108"/>
      <c r="E34" s="3109">
        <v>0.6</v>
      </c>
      <c r="F34" s="3106" t="s">
        <v>2466</v>
      </c>
      <c r="G34" s="3106"/>
    </row>
    <row r="35" spans="1:7" ht="19.5" customHeight="1">
      <c r="A35" s="3824"/>
      <c r="B35" s="3821"/>
      <c r="C35" s="3107" t="s">
        <v>2467</v>
      </c>
      <c r="D35" s="3108"/>
      <c r="E35" s="3109">
        <v>0.2</v>
      </c>
      <c r="F35" s="3106" t="s">
        <v>2468</v>
      </c>
      <c r="G35" s="3106"/>
    </row>
    <row r="36" spans="1:7" ht="19.5" customHeight="1">
      <c r="A36" s="3824"/>
      <c r="B36" s="3821"/>
      <c r="C36" s="3107" t="s">
        <v>2469</v>
      </c>
      <c r="D36" s="3108"/>
      <c r="E36" s="3109">
        <v>0.2</v>
      </c>
      <c r="F36" s="3106" t="s">
        <v>2470</v>
      </c>
      <c r="G36" s="3106"/>
    </row>
    <row r="37" spans="1:7" ht="19.5" customHeight="1">
      <c r="A37" s="3824"/>
      <c r="B37" s="3826" t="s">
        <v>2631</v>
      </c>
      <c r="C37" s="3107" t="s">
        <v>2471</v>
      </c>
      <c r="D37" s="3108"/>
      <c r="E37" s="3109">
        <v>0.6</v>
      </c>
      <c r="F37" s="3106" t="s">
        <v>2472</v>
      </c>
      <c r="G37" s="3106"/>
    </row>
    <row r="38" spans="1:7" ht="19.5" customHeight="1">
      <c r="A38" s="3824"/>
      <c r="B38" s="3821"/>
      <c r="C38" s="3107" t="s">
        <v>2473</v>
      </c>
      <c r="D38" s="3108"/>
      <c r="E38" s="3109">
        <v>0.6</v>
      </c>
      <c r="F38" s="3106" t="s">
        <v>2474</v>
      </c>
      <c r="G38" s="3106"/>
    </row>
    <row r="39" spans="1:7" ht="19.5" customHeight="1" thickBot="1">
      <c r="A39" s="3825"/>
      <c r="B39" s="3822"/>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827" t="s">
        <v>2609</v>
      </c>
      <c r="B41" s="3820" t="s">
        <v>2633</v>
      </c>
      <c r="C41" s="3103" t="s">
        <v>2478</v>
      </c>
      <c r="D41" s="3104"/>
      <c r="E41" s="3105">
        <v>1</v>
      </c>
      <c r="F41" s="3106" t="s">
        <v>2479</v>
      </c>
      <c r="G41" s="3106"/>
    </row>
    <row r="42" spans="1:7" ht="19.5" customHeight="1">
      <c r="A42" s="3828"/>
      <c r="B42" s="3821"/>
      <c r="C42" s="3107" t="s">
        <v>2480</v>
      </c>
      <c r="D42" s="3108"/>
      <c r="E42" s="3109">
        <v>1</v>
      </c>
      <c r="F42" s="3106" t="s">
        <v>2481</v>
      </c>
      <c r="G42" s="3106"/>
    </row>
    <row r="43" spans="1:7" ht="19.5" customHeight="1">
      <c r="A43" s="3828"/>
      <c r="B43" s="3830"/>
      <c r="C43" s="3107" t="s">
        <v>2482</v>
      </c>
      <c r="D43" s="3108"/>
      <c r="E43" s="3109">
        <v>1.5</v>
      </c>
      <c r="F43" s="3106" t="s">
        <v>2483</v>
      </c>
      <c r="G43" s="3106"/>
    </row>
    <row r="44" spans="1:7" ht="19.5" customHeight="1">
      <c r="A44" s="3828"/>
      <c r="B44" s="3118" t="s">
        <v>2634</v>
      </c>
      <c r="C44" s="3107" t="s">
        <v>2635</v>
      </c>
      <c r="D44" s="3108"/>
      <c r="E44" s="3109">
        <v>2</v>
      </c>
      <c r="F44" s="3106" t="s">
        <v>2484</v>
      </c>
      <c r="G44" s="3106"/>
    </row>
    <row r="45" spans="1:7" ht="19.5" customHeight="1">
      <c r="A45" s="3828"/>
      <c r="B45" s="3826" t="s">
        <v>2636</v>
      </c>
      <c r="C45" s="3107" t="s">
        <v>2485</v>
      </c>
      <c r="D45" s="3108"/>
      <c r="E45" s="3109">
        <v>1</v>
      </c>
      <c r="F45" s="3106" t="s">
        <v>2486</v>
      </c>
      <c r="G45" s="3106"/>
    </row>
    <row r="46" spans="1:7" ht="19.5" customHeight="1">
      <c r="A46" s="3828"/>
      <c r="B46" s="3821"/>
      <c r="C46" s="3107" t="s">
        <v>2487</v>
      </c>
      <c r="D46" s="3108"/>
      <c r="E46" s="3109">
        <v>1</v>
      </c>
      <c r="F46" s="3106" t="s">
        <v>2488</v>
      </c>
      <c r="G46" s="3106"/>
    </row>
    <row r="47" spans="1:7" ht="19.5" customHeight="1">
      <c r="A47" s="3828"/>
      <c r="B47" s="3821"/>
      <c r="C47" s="3107" t="s">
        <v>2489</v>
      </c>
      <c r="D47" s="3108"/>
      <c r="E47" s="3109">
        <v>1</v>
      </c>
      <c r="F47" s="3106" t="s">
        <v>2490</v>
      </c>
      <c r="G47" s="3106"/>
    </row>
    <row r="48" spans="1:7" ht="19.5" customHeight="1">
      <c r="A48" s="3828"/>
      <c r="B48" s="3821"/>
      <c r="C48" s="3107" t="s">
        <v>2491</v>
      </c>
      <c r="D48" s="3108"/>
      <c r="E48" s="3109">
        <v>1</v>
      </c>
      <c r="F48" s="3106" t="s">
        <v>2492</v>
      </c>
      <c r="G48" s="3106"/>
    </row>
    <row r="49" spans="1:7" ht="19.5" customHeight="1">
      <c r="A49" s="3828"/>
      <c r="B49" s="3821"/>
      <c r="C49" s="3107" t="s">
        <v>2493</v>
      </c>
      <c r="D49" s="3108"/>
      <c r="E49" s="3109">
        <v>1</v>
      </c>
      <c r="F49" s="3106" t="s">
        <v>2494</v>
      </c>
      <c r="G49" s="3106"/>
    </row>
    <row r="50" spans="1:7" ht="19.5" customHeight="1">
      <c r="A50" s="3828"/>
      <c r="B50" s="3821"/>
      <c r="C50" s="3107" t="s">
        <v>2495</v>
      </c>
      <c r="D50" s="3108"/>
      <c r="E50" s="3109">
        <v>1</v>
      </c>
      <c r="F50" s="3106" t="s">
        <v>2496</v>
      </c>
      <c r="G50" s="3106"/>
    </row>
    <row r="51" spans="1:7" ht="19.5" customHeight="1" thickBot="1">
      <c r="A51" s="3829"/>
      <c r="B51" s="3822"/>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826" t="s">
        <v>2650</v>
      </c>
      <c r="C73" s="3092" t="s">
        <v>2651</v>
      </c>
      <c r="D73" s="3092" t="s">
        <v>2652</v>
      </c>
      <c r="E73" s="3118">
        <v>0.2</v>
      </c>
      <c r="F73" s="3118">
        <v>25</v>
      </c>
    </row>
    <row r="74" spans="1:7" ht="24">
      <c r="A74" s="3118">
        <v>2</v>
      </c>
      <c r="B74" s="3821"/>
      <c r="C74" s="3092" t="s">
        <v>2653</v>
      </c>
      <c r="D74" s="3092" t="s">
        <v>2654</v>
      </c>
      <c r="E74" s="3118">
        <v>0.2</v>
      </c>
      <c r="F74" s="3118">
        <v>25</v>
      </c>
    </row>
    <row r="75" spans="1:7" ht="24">
      <c r="A75" s="3118">
        <v>3</v>
      </c>
      <c r="B75" s="3821"/>
      <c r="C75" s="3092" t="s">
        <v>2655</v>
      </c>
      <c r="D75" s="3092" t="s">
        <v>2656</v>
      </c>
      <c r="E75" s="3118">
        <v>0.2</v>
      </c>
      <c r="F75" s="3118">
        <v>25</v>
      </c>
    </row>
    <row r="76" spans="1:7" ht="14.4">
      <c r="A76" s="3118">
        <v>4</v>
      </c>
      <c r="B76" s="3821"/>
      <c r="C76" s="3092" t="s">
        <v>2657</v>
      </c>
      <c r="D76" s="3092" t="s">
        <v>2658</v>
      </c>
      <c r="E76" s="3118">
        <v>0.15</v>
      </c>
      <c r="F76" s="3118">
        <v>20</v>
      </c>
    </row>
    <row r="77" spans="1:7" ht="24">
      <c r="A77" s="3118">
        <v>5</v>
      </c>
      <c r="B77" s="3821"/>
      <c r="C77" s="3092" t="s">
        <v>2659</v>
      </c>
      <c r="D77" s="3092" t="s">
        <v>2660</v>
      </c>
      <c r="E77" s="3118">
        <v>0.15</v>
      </c>
      <c r="F77" s="3118">
        <v>20</v>
      </c>
    </row>
    <row r="78" spans="1:7" ht="24">
      <c r="A78" s="3118">
        <v>6</v>
      </c>
      <c r="B78" s="3821"/>
      <c r="C78" s="3092" t="s">
        <v>2661</v>
      </c>
      <c r="D78" s="3092" t="s">
        <v>2662</v>
      </c>
      <c r="E78" s="3118">
        <v>0.15</v>
      </c>
      <c r="F78" s="3118">
        <v>20</v>
      </c>
    </row>
    <row r="79" spans="1:7" ht="24">
      <c r="A79" s="3118">
        <v>7</v>
      </c>
      <c r="B79" s="3821"/>
      <c r="C79" s="3092" t="s">
        <v>2663</v>
      </c>
      <c r="D79" s="3092" t="s">
        <v>2664</v>
      </c>
      <c r="E79" s="3118">
        <v>0.15</v>
      </c>
      <c r="F79" s="3118">
        <v>20</v>
      </c>
    </row>
    <row r="80" spans="1:7" ht="24">
      <c r="A80" s="3118">
        <v>8</v>
      </c>
      <c r="B80" s="3821"/>
      <c r="C80" s="3092" t="s">
        <v>2665</v>
      </c>
      <c r="D80" s="3092" t="s">
        <v>2666</v>
      </c>
      <c r="E80" s="3118">
        <v>0.1</v>
      </c>
      <c r="F80" s="3118">
        <v>15</v>
      </c>
    </row>
    <row r="81" spans="1:6" ht="24">
      <c r="A81" s="3118">
        <v>9</v>
      </c>
      <c r="B81" s="3821"/>
      <c r="C81" s="3092" t="s">
        <v>2667</v>
      </c>
      <c r="D81" s="3092" t="s">
        <v>2668</v>
      </c>
      <c r="E81" s="3118">
        <v>0.1</v>
      </c>
      <c r="F81" s="3118">
        <v>15</v>
      </c>
    </row>
    <row r="82" spans="1:6" ht="24">
      <c r="A82" s="3118">
        <v>10</v>
      </c>
      <c r="B82" s="3821"/>
      <c r="C82" s="3092" t="s">
        <v>2669</v>
      </c>
      <c r="D82" s="3092" t="s">
        <v>2670</v>
      </c>
      <c r="E82" s="3118">
        <v>0.1</v>
      </c>
      <c r="F82" s="3118">
        <v>15</v>
      </c>
    </row>
    <row r="83" spans="1:6" ht="24">
      <c r="A83" s="3118">
        <v>11</v>
      </c>
      <c r="B83" s="3821"/>
      <c r="C83" s="3092" t="s">
        <v>2671</v>
      </c>
      <c r="D83" s="3092" t="s">
        <v>2672</v>
      </c>
      <c r="E83" s="3118">
        <v>0.1</v>
      </c>
      <c r="F83" s="3118">
        <v>15</v>
      </c>
    </row>
    <row r="84" spans="1:6" ht="24">
      <c r="A84" s="3118">
        <v>12</v>
      </c>
      <c r="B84" s="3821"/>
      <c r="C84" s="3092" t="s">
        <v>2673</v>
      </c>
      <c r="D84" s="3092" t="s">
        <v>2674</v>
      </c>
      <c r="E84" s="3118">
        <v>0.1</v>
      </c>
      <c r="F84" s="3118">
        <v>15</v>
      </c>
    </row>
    <row r="85" spans="1:6" ht="24">
      <c r="A85" s="3118">
        <v>13</v>
      </c>
      <c r="B85" s="3821"/>
      <c r="C85" s="3092" t="s">
        <v>2675</v>
      </c>
      <c r="D85" s="3092" t="s">
        <v>2676</v>
      </c>
      <c r="E85" s="3118">
        <v>0.1</v>
      </c>
      <c r="F85" s="3118">
        <v>15</v>
      </c>
    </row>
    <row r="86" spans="1:6" ht="24">
      <c r="A86" s="3118">
        <v>14</v>
      </c>
      <c r="B86" s="3821"/>
      <c r="C86" s="3092" t="s">
        <v>2677</v>
      </c>
      <c r="D86" s="3092" t="s">
        <v>2678</v>
      </c>
      <c r="E86" s="3118">
        <v>0.1</v>
      </c>
      <c r="F86" s="3118">
        <v>15</v>
      </c>
    </row>
    <row r="87" spans="1:6" ht="24">
      <c r="A87" s="3118">
        <v>15</v>
      </c>
      <c r="B87" s="3821"/>
      <c r="C87" s="3092" t="s">
        <v>2679</v>
      </c>
      <c r="D87" s="3092" t="s">
        <v>2680</v>
      </c>
      <c r="E87" s="3118">
        <v>0.1</v>
      </c>
      <c r="F87" s="3118">
        <v>15</v>
      </c>
    </row>
    <row r="88" spans="1:6" ht="24">
      <c r="A88" s="3118">
        <v>16</v>
      </c>
      <c r="B88" s="3821"/>
      <c r="C88" s="3092" t="s">
        <v>2681</v>
      </c>
      <c r="D88" s="3092" t="s">
        <v>2682</v>
      </c>
      <c r="E88" s="3118">
        <v>0.1</v>
      </c>
      <c r="F88" s="3118">
        <v>15</v>
      </c>
    </row>
    <row r="89" spans="1:6" ht="24">
      <c r="A89" s="3118">
        <v>17</v>
      </c>
      <c r="B89" s="3830"/>
      <c r="C89" s="3092" t="s">
        <v>2683</v>
      </c>
      <c r="D89" s="3092" t="s">
        <v>2684</v>
      </c>
      <c r="E89" s="3118">
        <v>0.1</v>
      </c>
      <c r="F89" s="3118">
        <v>15</v>
      </c>
    </row>
    <row r="90" spans="1:6" ht="14.4">
      <c r="A90" s="3118">
        <v>18</v>
      </c>
      <c r="B90" s="3826" t="s">
        <v>2685</v>
      </c>
      <c r="C90" s="3092" t="s">
        <v>2686</v>
      </c>
      <c r="D90" s="3092" t="s">
        <v>2687</v>
      </c>
      <c r="E90" s="3118">
        <v>0.2</v>
      </c>
      <c r="F90" s="3118">
        <v>25</v>
      </c>
    </row>
    <row r="91" spans="1:6" ht="24">
      <c r="A91" s="3118">
        <v>19</v>
      </c>
      <c r="B91" s="3821"/>
      <c r="C91" s="3092" t="s">
        <v>2688</v>
      </c>
      <c r="D91" s="3092" t="s">
        <v>2689</v>
      </c>
      <c r="E91" s="3118">
        <v>0.2</v>
      </c>
      <c r="F91" s="3118">
        <v>25</v>
      </c>
    </row>
    <row r="92" spans="1:6" ht="14.4">
      <c r="A92" s="3118">
        <v>20</v>
      </c>
      <c r="B92" s="3821"/>
      <c r="C92" s="3092" t="s">
        <v>2690</v>
      </c>
      <c r="D92" s="3092" t="s">
        <v>2691</v>
      </c>
      <c r="E92" s="3118">
        <v>0.15</v>
      </c>
      <c r="F92" s="3118">
        <v>20</v>
      </c>
    </row>
    <row r="93" spans="1:6" ht="24">
      <c r="A93" s="3118">
        <v>21</v>
      </c>
      <c r="B93" s="3821"/>
      <c r="C93" s="3092" t="s">
        <v>2692</v>
      </c>
      <c r="D93" s="3092" t="s">
        <v>2693</v>
      </c>
      <c r="E93" s="3118">
        <v>0.15</v>
      </c>
      <c r="F93" s="3118">
        <v>20</v>
      </c>
    </row>
    <row r="94" spans="1:6" ht="24">
      <c r="A94" s="3118">
        <v>22</v>
      </c>
      <c r="B94" s="3821"/>
      <c r="C94" s="3092" t="s">
        <v>2694</v>
      </c>
      <c r="D94" s="3092" t="s">
        <v>2695</v>
      </c>
      <c r="E94" s="3118">
        <v>0.15</v>
      </c>
      <c r="F94" s="3118">
        <v>20</v>
      </c>
    </row>
    <row r="95" spans="1:6" ht="36">
      <c r="A95" s="3118">
        <v>23</v>
      </c>
      <c r="B95" s="3821"/>
      <c r="C95" s="3092" t="s">
        <v>2696</v>
      </c>
      <c r="D95" s="3092" t="s">
        <v>2697</v>
      </c>
      <c r="E95" s="3118">
        <v>0.15</v>
      </c>
      <c r="F95" s="3118">
        <v>20</v>
      </c>
    </row>
    <row r="96" spans="1:6" ht="24">
      <c r="A96" s="3118">
        <v>24</v>
      </c>
      <c r="B96" s="3821"/>
      <c r="C96" s="3092" t="s">
        <v>2698</v>
      </c>
      <c r="D96" s="3092" t="s">
        <v>2699</v>
      </c>
      <c r="E96" s="3118">
        <v>0.1</v>
      </c>
      <c r="F96" s="3118">
        <v>15</v>
      </c>
    </row>
    <row r="97" spans="1:6" ht="24">
      <c r="A97" s="3118">
        <v>25</v>
      </c>
      <c r="B97" s="3821"/>
      <c r="C97" s="3092" t="s">
        <v>2700</v>
      </c>
      <c r="D97" s="3092" t="s">
        <v>2701</v>
      </c>
      <c r="E97" s="3118">
        <v>0.1</v>
      </c>
      <c r="F97" s="3118">
        <v>15</v>
      </c>
    </row>
    <row r="98" spans="1:6" ht="24">
      <c r="A98" s="3118">
        <v>26</v>
      </c>
      <c r="B98" s="3821"/>
      <c r="C98" s="3092" t="s">
        <v>2702</v>
      </c>
      <c r="D98" s="3092" t="s">
        <v>2703</v>
      </c>
      <c r="E98" s="3118">
        <v>0.1</v>
      </c>
      <c r="F98" s="3118">
        <v>15</v>
      </c>
    </row>
    <row r="99" spans="1:6" ht="24">
      <c r="A99" s="3118">
        <v>27</v>
      </c>
      <c r="B99" s="3821"/>
      <c r="C99" s="3092" t="s">
        <v>2704</v>
      </c>
      <c r="D99" s="3092" t="s">
        <v>2705</v>
      </c>
      <c r="E99" s="3118">
        <v>0.1</v>
      </c>
      <c r="F99" s="3118">
        <v>15</v>
      </c>
    </row>
    <row r="100" spans="1:6" ht="24">
      <c r="A100" s="3118">
        <v>28</v>
      </c>
      <c r="B100" s="3821"/>
      <c r="C100" s="3092" t="s">
        <v>2706</v>
      </c>
      <c r="D100" s="3092" t="s">
        <v>2707</v>
      </c>
      <c r="E100" s="3118">
        <v>0.1</v>
      </c>
      <c r="F100" s="3118">
        <v>15</v>
      </c>
    </row>
    <row r="101" spans="1:6" ht="24">
      <c r="A101" s="3118">
        <v>29</v>
      </c>
      <c r="B101" s="3821"/>
      <c r="C101" s="3092" t="s">
        <v>2708</v>
      </c>
      <c r="D101" s="3092" t="s">
        <v>2709</v>
      </c>
      <c r="E101" s="3118">
        <v>0.1</v>
      </c>
      <c r="F101" s="3118">
        <v>15</v>
      </c>
    </row>
    <row r="102" spans="1:6" ht="24">
      <c r="A102" s="3118">
        <v>30</v>
      </c>
      <c r="B102" s="3821"/>
      <c r="C102" s="3092" t="s">
        <v>2710</v>
      </c>
      <c r="D102" s="3092" t="s">
        <v>2711</v>
      </c>
      <c r="E102" s="3118">
        <v>0.1</v>
      </c>
      <c r="F102" s="3118">
        <v>15</v>
      </c>
    </row>
    <row r="103" spans="1:6" ht="24">
      <c r="A103" s="3118">
        <v>31</v>
      </c>
      <c r="B103" s="3821"/>
      <c r="C103" s="3092" t="s">
        <v>2712</v>
      </c>
      <c r="D103" s="3092" t="s">
        <v>2713</v>
      </c>
      <c r="E103" s="3118">
        <v>0.1</v>
      </c>
      <c r="F103" s="3118">
        <v>15</v>
      </c>
    </row>
    <row r="104" spans="1:6" ht="24">
      <c r="A104" s="3118">
        <v>32</v>
      </c>
      <c r="B104" s="3821"/>
      <c r="C104" s="3092" t="s">
        <v>2714</v>
      </c>
      <c r="D104" s="3092" t="s">
        <v>2715</v>
      </c>
      <c r="E104" s="3118">
        <v>0.1</v>
      </c>
      <c r="F104" s="3118">
        <v>15</v>
      </c>
    </row>
    <row r="105" spans="1:6" ht="24">
      <c r="A105" s="3118">
        <v>33</v>
      </c>
      <c r="B105" s="3821"/>
      <c r="C105" s="3092" t="s">
        <v>2716</v>
      </c>
      <c r="D105" s="3092" t="s">
        <v>2717</v>
      </c>
      <c r="E105" s="3118">
        <v>0.1</v>
      </c>
      <c r="F105" s="3118">
        <v>15</v>
      </c>
    </row>
    <row r="106" spans="1:6" ht="24">
      <c r="A106" s="3118">
        <v>34</v>
      </c>
      <c r="B106" s="3830"/>
      <c r="C106" s="3092" t="s">
        <v>2718</v>
      </c>
      <c r="D106" s="3092" t="s">
        <v>2719</v>
      </c>
      <c r="E106" s="3118">
        <v>0.1</v>
      </c>
      <c r="F106" s="3118">
        <v>15</v>
      </c>
    </row>
    <row r="107" spans="1:6" ht="36">
      <c r="A107" s="3118">
        <v>35</v>
      </c>
      <c r="B107" s="3826" t="s">
        <v>2720</v>
      </c>
      <c r="C107" s="3118" t="s">
        <v>2721</v>
      </c>
      <c r="D107" s="3092" t="s">
        <v>2722</v>
      </c>
      <c r="E107" s="3118">
        <v>0.15</v>
      </c>
      <c r="F107" s="3118">
        <v>20</v>
      </c>
    </row>
    <row r="108" spans="1:6" ht="24">
      <c r="A108" s="3118">
        <v>36</v>
      </c>
      <c r="B108" s="3821"/>
      <c r="C108" s="3118" t="s">
        <v>2723</v>
      </c>
      <c r="D108" s="3092" t="s">
        <v>2724</v>
      </c>
      <c r="E108" s="3118">
        <v>0.15</v>
      </c>
      <c r="F108" s="3118">
        <v>20</v>
      </c>
    </row>
    <row r="109" spans="1:6" ht="24">
      <c r="A109" s="3118">
        <v>37</v>
      </c>
      <c r="B109" s="3821"/>
      <c r="C109" s="3118" t="s">
        <v>2725</v>
      </c>
      <c r="D109" s="3092" t="s">
        <v>2726</v>
      </c>
      <c r="E109" s="3118">
        <v>0.15</v>
      </c>
      <c r="F109" s="3118">
        <v>20</v>
      </c>
    </row>
    <row r="110" spans="1:6" ht="24">
      <c r="A110" s="3118">
        <v>38</v>
      </c>
      <c r="B110" s="3821"/>
      <c r="C110" s="3118" t="s">
        <v>2727</v>
      </c>
      <c r="D110" s="3092" t="s">
        <v>2728</v>
      </c>
      <c r="E110" s="3118">
        <v>0.1</v>
      </c>
      <c r="F110" s="3118">
        <v>15</v>
      </c>
    </row>
    <row r="111" spans="1:6" ht="24">
      <c r="A111" s="3118">
        <v>39</v>
      </c>
      <c r="B111" s="3821"/>
      <c r="C111" s="3118" t="s">
        <v>2729</v>
      </c>
      <c r="D111" s="3092" t="s">
        <v>2730</v>
      </c>
      <c r="E111" s="3118">
        <v>0.1</v>
      </c>
      <c r="F111" s="3118">
        <v>15</v>
      </c>
    </row>
    <row r="112" spans="1:6" ht="24">
      <c r="A112" s="3118">
        <v>40</v>
      </c>
      <c r="B112" s="3830"/>
      <c r="C112" s="3118" t="s">
        <v>2731</v>
      </c>
      <c r="D112" s="3092" t="s">
        <v>2732</v>
      </c>
      <c r="E112" s="3118">
        <v>0.1</v>
      </c>
      <c r="F112" s="3118">
        <v>15</v>
      </c>
    </row>
    <row r="113" spans="1:6" ht="24">
      <c r="A113" s="3118">
        <v>41</v>
      </c>
      <c r="B113" s="3831" t="s">
        <v>2733</v>
      </c>
      <c r="C113" s="3118" t="s">
        <v>2734</v>
      </c>
      <c r="D113" s="3092" t="s">
        <v>2735</v>
      </c>
      <c r="E113" s="3118">
        <v>0.1</v>
      </c>
      <c r="F113" s="3118">
        <v>15</v>
      </c>
    </row>
    <row r="114" spans="1:6" ht="24">
      <c r="A114" s="3118">
        <v>42</v>
      </c>
      <c r="B114" s="3831"/>
      <c r="C114" s="3118" t="s">
        <v>2736</v>
      </c>
      <c r="D114" s="3092" t="s">
        <v>2737</v>
      </c>
      <c r="E114" s="3118">
        <v>0.1</v>
      </c>
      <c r="F114" s="3118">
        <v>15</v>
      </c>
    </row>
    <row r="115" spans="1:6" ht="24">
      <c r="A115" s="3118">
        <v>43</v>
      </c>
      <c r="B115" s="3831"/>
      <c r="C115" s="3118" t="s">
        <v>2738</v>
      </c>
      <c r="D115" s="3092" t="s">
        <v>2739</v>
      </c>
      <c r="E115" s="3118">
        <v>0.1</v>
      </c>
      <c r="F115" s="3118">
        <v>15</v>
      </c>
    </row>
    <row r="116" spans="1:6" ht="24">
      <c r="A116" s="3118">
        <v>44</v>
      </c>
      <c r="B116" s="3826" t="s">
        <v>2740</v>
      </c>
      <c r="C116" s="3118" t="s">
        <v>2741</v>
      </c>
      <c r="D116" s="3092" t="s">
        <v>2742</v>
      </c>
      <c r="E116" s="3118">
        <v>0.1</v>
      </c>
      <c r="F116" s="3118">
        <v>15</v>
      </c>
    </row>
    <row r="117" spans="1:6" ht="24">
      <c r="A117" s="3118">
        <v>45</v>
      </c>
      <c r="B117" s="3830"/>
      <c r="C117" s="3092" t="s">
        <v>2743</v>
      </c>
      <c r="D117" s="3092" t="s">
        <v>2744</v>
      </c>
      <c r="E117" s="3118">
        <v>0.1</v>
      </c>
      <c r="F117" s="3118">
        <v>15</v>
      </c>
    </row>
    <row r="118" spans="1:6" ht="24">
      <c r="A118" s="3118">
        <v>46</v>
      </c>
      <c r="B118" s="3826" t="s">
        <v>2745</v>
      </c>
      <c r="C118" s="3118" t="s">
        <v>2746</v>
      </c>
      <c r="D118" s="3092" t="s">
        <v>2747</v>
      </c>
      <c r="E118" s="3118">
        <v>0.1</v>
      </c>
      <c r="F118" s="3118">
        <v>15</v>
      </c>
    </row>
    <row r="119" spans="1:6" ht="24">
      <c r="A119" s="3118">
        <v>47</v>
      </c>
      <c r="B119" s="3830"/>
      <c r="C119" s="3118" t="s">
        <v>2748</v>
      </c>
      <c r="D119" s="3092" t="s">
        <v>2749</v>
      </c>
      <c r="E119" s="3118">
        <v>0.1</v>
      </c>
      <c r="F119" s="3118">
        <v>15</v>
      </c>
    </row>
    <row r="120" spans="1:6" ht="24">
      <c r="A120" s="3118">
        <v>48</v>
      </c>
      <c r="B120" s="3826" t="s">
        <v>2750</v>
      </c>
      <c r="C120" s="3118" t="s">
        <v>2751</v>
      </c>
      <c r="D120" s="3092" t="s">
        <v>2752</v>
      </c>
      <c r="E120" s="3118">
        <v>0.1</v>
      </c>
      <c r="F120" s="3118">
        <v>15</v>
      </c>
    </row>
    <row r="121" spans="1:6" ht="24">
      <c r="A121" s="3118">
        <v>49</v>
      </c>
      <c r="B121" s="3830"/>
      <c r="C121" s="3118" t="s">
        <v>2753</v>
      </c>
      <c r="D121" s="3092" t="s">
        <v>2754</v>
      </c>
      <c r="E121" s="3118">
        <v>0.1</v>
      </c>
      <c r="F121" s="3118">
        <v>15</v>
      </c>
    </row>
    <row r="122" spans="1:6" ht="24">
      <c r="A122" s="3118">
        <v>50</v>
      </c>
      <c r="B122" s="3831" t="s">
        <v>2755</v>
      </c>
      <c r="C122" s="3118" t="s">
        <v>2756</v>
      </c>
      <c r="D122" s="3092" t="s">
        <v>2757</v>
      </c>
      <c r="E122" s="3118">
        <v>0.1</v>
      </c>
      <c r="F122" s="3118">
        <v>15</v>
      </c>
    </row>
    <row r="123" spans="1:6" ht="24">
      <c r="A123" s="3118">
        <v>51</v>
      </c>
      <c r="B123" s="3831"/>
      <c r="C123" s="3118" t="s">
        <v>2758</v>
      </c>
      <c r="D123" s="3092" t="s">
        <v>2759</v>
      </c>
      <c r="E123" s="3118">
        <v>0.1</v>
      </c>
      <c r="F123" s="3118">
        <v>15</v>
      </c>
    </row>
    <row r="124" spans="1:6" ht="24">
      <c r="A124" s="3118">
        <v>52</v>
      </c>
      <c r="B124" s="3831" t="s">
        <v>2760</v>
      </c>
      <c r="C124" s="3118" t="s">
        <v>2761</v>
      </c>
      <c r="D124" s="3092" t="s">
        <v>2762</v>
      </c>
      <c r="E124" s="3118">
        <v>0.1</v>
      </c>
      <c r="F124" s="3118">
        <v>15</v>
      </c>
    </row>
    <row r="125" spans="1:6" ht="24">
      <c r="A125" s="3118">
        <v>53</v>
      </c>
      <c r="B125" s="3831"/>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831" t="s">
        <v>2768</v>
      </c>
      <c r="C127" s="3118" t="s">
        <v>2769</v>
      </c>
      <c r="D127" s="3092" t="s">
        <v>2770</v>
      </c>
      <c r="E127" s="3118">
        <v>0.1</v>
      </c>
      <c r="F127" s="3118">
        <v>15</v>
      </c>
    </row>
    <row r="128" spans="1:6" ht="24">
      <c r="A128" s="3118">
        <v>56</v>
      </c>
      <c r="B128" s="3831"/>
      <c r="C128" s="3118" t="s">
        <v>2771</v>
      </c>
      <c r="D128" s="3092" t="s">
        <v>2772</v>
      </c>
      <c r="E128" s="3118">
        <v>0.1</v>
      </c>
      <c r="F128" s="3118">
        <v>15</v>
      </c>
    </row>
    <row r="129" spans="1:6" ht="24">
      <c r="A129" s="3118">
        <v>57</v>
      </c>
      <c r="B129" s="3831"/>
      <c r="C129" s="3118" t="s">
        <v>2773</v>
      </c>
      <c r="D129" s="3092" t="s">
        <v>2774</v>
      </c>
      <c r="E129" s="3118">
        <v>0.1</v>
      </c>
      <c r="F129" s="3118">
        <v>15</v>
      </c>
    </row>
    <row r="130" spans="1:6" ht="24">
      <c r="A130" s="3118">
        <v>58</v>
      </c>
      <c r="B130" s="3831" t="s">
        <v>2775</v>
      </c>
      <c r="C130" s="3118" t="s">
        <v>2776</v>
      </c>
      <c r="D130" s="3092" t="s">
        <v>2777</v>
      </c>
      <c r="E130" s="3118">
        <v>0.1</v>
      </c>
      <c r="F130" s="3118">
        <v>15</v>
      </c>
    </row>
    <row r="131" spans="1:6" ht="24">
      <c r="A131" s="3118">
        <v>59</v>
      </c>
      <c r="B131" s="3831"/>
      <c r="C131" s="3118" t="s">
        <v>2778</v>
      </c>
      <c r="D131" s="3092" t="s">
        <v>2779</v>
      </c>
      <c r="E131" s="3118">
        <v>0.1</v>
      </c>
      <c r="F131" s="3118">
        <v>15</v>
      </c>
    </row>
    <row r="132" spans="1:6" ht="24">
      <c r="A132" s="3118">
        <v>60</v>
      </c>
      <c r="B132" s="3826" t="s">
        <v>2780</v>
      </c>
      <c r="C132" s="3118" t="s">
        <v>2781</v>
      </c>
      <c r="D132" s="3092" t="s">
        <v>2782</v>
      </c>
      <c r="E132" s="3118">
        <v>0.1</v>
      </c>
      <c r="F132" s="3118">
        <v>15</v>
      </c>
    </row>
    <row r="133" spans="1:6" ht="24">
      <c r="A133" s="3118">
        <v>61</v>
      </c>
      <c r="B133" s="3830"/>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831" t="s">
        <v>2788</v>
      </c>
      <c r="C135" s="3118" t="s">
        <v>2789</v>
      </c>
      <c r="D135" s="3092" t="s">
        <v>2790</v>
      </c>
      <c r="E135" s="3118">
        <v>0.1</v>
      </c>
      <c r="F135" s="3118">
        <v>15</v>
      </c>
    </row>
    <row r="136" spans="1:6" ht="24">
      <c r="A136" s="3118">
        <v>64</v>
      </c>
      <c r="B136" s="3831"/>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1.2302</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1.1198999999999999</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26988</v>
      </c>
      <c r="C2" s="2" t="s">
        <v>106</v>
      </c>
      <c r="D2" s="199"/>
      <c r="E2" s="199"/>
      <c r="F2" s="199"/>
      <c r="G2" s="199"/>
    </row>
    <row r="3" spans="1:7" s="200" customFormat="1" ht="18" customHeight="1" thickBot="1">
      <c r="A3" s="203" t="s">
        <v>58</v>
      </c>
      <c r="B3" s="204">
        <f ca="1">ROUND(B2*10000/'数据-汇总表'!E3,0)</f>
        <v>109496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47</v>
      </c>
      <c r="D10" s="845">
        <f>'数据-汇总表'!E6</f>
        <v>2464.7399999999998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2464.7399999999998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978</v>
      </c>
      <c r="D22" s="235">
        <f ca="1">C26</f>
        <v>1.1999999999999999E-3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1475</v>
      </c>
      <c r="D27" s="235">
        <f>C29</f>
        <v>3.5000000000000001E-3</v>
      </c>
      <c r="E27" s="236" t="s">
        <v>99</v>
      </c>
      <c r="F27" s="246">
        <f>'数据-取费表'!Q16</f>
        <v>7.0000000000000007E-2</v>
      </c>
      <c r="G27" s="247" t="s">
        <v>431</v>
      </c>
    </row>
    <row r="28" spans="1:7" s="214" customFormat="1" ht="13.5" customHeight="1">
      <c r="A28" s="780" t="s">
        <v>349</v>
      </c>
      <c r="B28" s="248" t="s">
        <v>424</v>
      </c>
      <c r="C28" s="249">
        <f>ROUND((C5+C19+C20)*F27*'数据-取费表'!B21/'数据-取费表'!B20,0)</f>
        <v>1475</v>
      </c>
      <c r="D28" s="235"/>
      <c r="E28" s="236"/>
      <c r="F28" s="246"/>
      <c r="G28" s="247"/>
    </row>
    <row r="29" spans="1:7" s="214" customFormat="1" ht="13.5" customHeight="1">
      <c r="A29" s="780" t="s">
        <v>347</v>
      </c>
      <c r="B29" s="248" t="s">
        <v>425</v>
      </c>
      <c r="C29" s="238">
        <f>ROUND(C21*F27*'数据-取费表'!B21/'数据-取费表'!B20,4)</f>
        <v>3.5000000000000001E-3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26346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529</v>
      </c>
      <c r="D34" s="217"/>
      <c r="E34" s="220"/>
      <c r="F34" s="257">
        <f>IF('数据-取费表'!B24=0,1,'数据-取费表'!N16)</f>
        <v>1</v>
      </c>
      <c r="G34" s="219" t="s">
        <v>89</v>
      </c>
    </row>
    <row r="35" spans="1:7" ht="13.5" customHeight="1">
      <c r="A35" s="780" t="s">
        <v>351</v>
      </c>
      <c r="B35" s="215" t="s">
        <v>33</v>
      </c>
      <c r="C35" s="220">
        <f>ROUND(C34*F35,0)</f>
        <v>53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49</v>
      </c>
      <c r="D37" s="217">
        <f>'数据-汇总表'!E3</f>
        <v>2464.7399999999998</v>
      </c>
      <c r="E37" s="249">
        <f>'数据-取费表'!B35</f>
        <v>200</v>
      </c>
      <c r="F37" s="259"/>
      <c r="G37" s="261" t="s">
        <v>92</v>
      </c>
    </row>
    <row r="38" spans="1:7" ht="13.5" customHeight="1">
      <c r="A38" s="780" t="s">
        <v>354</v>
      </c>
      <c r="B38" s="215" t="s">
        <v>36</v>
      </c>
      <c r="C38" s="220">
        <f>ROUND(C34*F38,0)</f>
        <v>16</v>
      </c>
      <c r="D38" s="220"/>
      <c r="E38" s="220"/>
      <c r="F38" s="259">
        <f>'数据-取费表'!B36</f>
        <v>0.03</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8.0000000000000004E-4</v>
      </c>
      <c r="D44" s="238"/>
      <c r="E44" s="238"/>
      <c r="F44" s="239"/>
      <c r="G44" s="3698"/>
    </row>
    <row r="45" spans="1:7" s="214" customFormat="1" ht="13.5" customHeight="1">
      <c r="A45" s="777" t="s">
        <v>341</v>
      </c>
      <c r="B45" s="244" t="s">
        <v>85</v>
      </c>
      <c r="C45" s="245">
        <f>C46</f>
        <v>46</v>
      </c>
      <c r="D45" s="235">
        <f>C47</f>
        <v>3.5000000000000001E-3</v>
      </c>
      <c r="E45" s="236" t="s">
        <v>102</v>
      </c>
      <c r="F45" s="246"/>
      <c r="G45" s="247" t="s">
        <v>434</v>
      </c>
    </row>
    <row r="46" spans="1:7" s="214" customFormat="1" ht="13.5" customHeight="1">
      <c r="A46" s="780" t="s">
        <v>349</v>
      </c>
      <c r="B46" s="248" t="s">
        <v>427</v>
      </c>
      <c r="C46" s="249">
        <f>ROUND((C33+C39)*F27,0)</f>
        <v>46</v>
      </c>
      <c r="D46" s="263"/>
      <c r="E46" s="236"/>
      <c r="F46" s="246"/>
      <c r="G46" s="247"/>
    </row>
    <row r="47" spans="1:7" s="214" customFormat="1" ht="13.5" customHeight="1">
      <c r="A47" s="780" t="s">
        <v>347</v>
      </c>
      <c r="B47" s="248" t="s">
        <v>429</v>
      </c>
      <c r="C47" s="238">
        <f>ROUND(C40*F27,4)</f>
        <v>3.5000000000000001E-3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802</v>
      </c>
      <c r="D49" s="232"/>
      <c r="E49" s="232"/>
      <c r="F49" s="264"/>
      <c r="G49" s="234" t="s">
        <v>435</v>
      </c>
    </row>
    <row r="50" spans="1:7" s="258" customFormat="1" ht="24">
      <c r="A50" s="777" t="s">
        <v>344</v>
      </c>
      <c r="B50" s="210" t="s">
        <v>97</v>
      </c>
      <c r="C50" s="232"/>
      <c r="D50" s="232"/>
      <c r="E50" s="232"/>
      <c r="F50" s="264">
        <f>IF('数据-取费表'!B24=0,'数据-取费表'!N16,1)</f>
        <v>0.80100000000000005</v>
      </c>
      <c r="G50" s="247" t="s">
        <v>98</v>
      </c>
    </row>
    <row r="51" spans="1:7" ht="16.5" customHeight="1">
      <c r="A51" s="777" t="s">
        <v>345</v>
      </c>
      <c r="B51" s="210" t="s">
        <v>105</v>
      </c>
      <c r="C51" s="232">
        <f ca="1">ROUND(C49*F50,0)</f>
        <v>642</v>
      </c>
      <c r="D51" s="232"/>
      <c r="E51" s="232"/>
      <c r="F51" s="264"/>
      <c r="G51" s="234" t="s">
        <v>37</v>
      </c>
    </row>
    <row r="52" spans="1:7" s="208" customFormat="1" ht="16.8" thickBot="1">
      <c r="A52" s="265" t="s">
        <v>38</v>
      </c>
      <c r="B52" s="266"/>
      <c r="C52" s="267">
        <f ca="1">C31+C51</f>
        <v>26988</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4" t="s">
        <v>2838</v>
      </c>
      <c r="B1" s="3834"/>
      <c r="C1" s="3834"/>
      <c r="D1" s="3834"/>
      <c r="E1" s="3834"/>
      <c r="F1" s="3834"/>
      <c r="G1" s="3835"/>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32"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833"/>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36" t="s">
        <v>3180</v>
      </c>
      <c r="B1" s="3836"/>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37" t="s">
        <v>3231</v>
      </c>
      <c r="B1" s="3837"/>
      <c r="C1" s="3837"/>
      <c r="D1" s="3837"/>
      <c r="E1" s="3837"/>
      <c r="F1" s="3838"/>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3221">
        <f>基准地价修正!G23</f>
        <v>45680</v>
      </c>
      <c r="B1" s="3210" t="s">
        <v>3379</v>
      </c>
      <c r="C1" s="3211"/>
      <c r="D1" s="3211"/>
      <c r="E1" s="3211"/>
      <c r="F1" s="3211"/>
      <c r="G1" s="3211"/>
      <c r="H1" s="3211"/>
      <c r="I1" s="3211"/>
      <c r="J1" s="3165"/>
      <c r="K1" s="3211" t="s">
        <v>454</v>
      </c>
      <c r="L1" s="3211"/>
      <c r="M1" s="3211"/>
      <c r="N1" s="3211"/>
      <c r="O1" s="3211"/>
      <c r="P1" s="3211"/>
      <c r="Q1" s="3165"/>
      <c r="R1" s="3839" t="s">
        <v>456</v>
      </c>
      <c r="S1" s="3840"/>
      <c r="T1" s="3840"/>
      <c r="U1" s="3840"/>
      <c r="V1" s="3840"/>
      <c r="W1" s="3840"/>
      <c r="X1" s="3165"/>
      <c r="Y1" s="3839" t="s">
        <v>457</v>
      </c>
      <c r="Z1" s="3840"/>
      <c r="AA1" s="3840"/>
      <c r="AB1" s="3840"/>
      <c r="AC1" s="3840"/>
      <c r="AD1" s="3840"/>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839" t="s">
        <v>2826</v>
      </c>
      <c r="S26" s="3840"/>
      <c r="T26" s="3840"/>
      <c r="U26" s="3840"/>
      <c r="V26" s="3840"/>
      <c r="W26" s="3840"/>
      <c r="X26" s="3165"/>
      <c r="Y26" s="3839" t="s">
        <v>2827</v>
      </c>
      <c r="Z26" s="3840"/>
      <c r="AA26" s="3840"/>
      <c r="AB26" s="3840"/>
      <c r="AC26" s="3840"/>
      <c r="AD26" s="3840"/>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46" t="s">
        <v>452</v>
      </c>
      <c r="C1" s="3846"/>
      <c r="D1" s="3846"/>
      <c r="E1" s="3846"/>
      <c r="F1" s="3846"/>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4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4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4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4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4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4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4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4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4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4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4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4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4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4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45680</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5.6">
      <c r="A3" s="3494"/>
      <c r="B3" s="3494"/>
      <c r="C3" s="3494"/>
      <c r="D3" s="854" t="s">
        <v>925</v>
      </c>
      <c r="E3" s="854" t="s">
        <v>931</v>
      </c>
      <c r="F3" s="854" t="s">
        <v>925</v>
      </c>
      <c r="G3" s="854" t="s">
        <v>926</v>
      </c>
      <c r="H3" s="854" t="s">
        <v>925</v>
      </c>
      <c r="I3" s="854" t="s">
        <v>926</v>
      </c>
    </row>
    <row r="4" spans="1:9" ht="15">
      <c r="A4" s="1505" t="str">
        <f>项目基本情况!S2</f>
        <v>北京市房地产</v>
      </c>
      <c r="B4" s="854">
        <f>项目基本情况!C17</f>
        <v>2464.7399999999998</v>
      </c>
      <c r="C4" s="854">
        <f>项目基本情况!C18</f>
        <v>3333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6">
      <c r="A6" s="3495" t="str">
        <f>结果表!A120</f>
        <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6">
      <c r="A8" s="3495" t="str">
        <f>结果表!A122</f>
        <v/>
      </c>
      <c r="B8" s="3495"/>
      <c r="C8" s="3495"/>
      <c r="D8" s="3495" t="e">
        <f ca="1">结果表!D122</f>
        <v>#REF!</v>
      </c>
      <c r="E8" s="3495"/>
      <c r="F8" s="3495"/>
      <c r="G8" s="3495"/>
      <c r="H8" s="3495"/>
      <c r="I8" s="3495"/>
    </row>
    <row r="9" spans="1:9" ht="15">
      <c r="A9" s="3494" t="s">
        <v>927</v>
      </c>
      <c r="B9" s="3494"/>
      <c r="C9" s="3494"/>
      <c r="D9" s="3494" t="e">
        <f ca="1">结果表!D123</f>
        <v>#REF!</v>
      </c>
      <c r="E9" s="3494"/>
      <c r="F9" s="3494"/>
      <c r="G9" s="3494"/>
      <c r="H9" s="3494"/>
      <c r="I9" s="3494"/>
    </row>
    <row r="10" spans="1:9" ht="15.6">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6">
      <c r="A12" s="3495" t="str">
        <f>结果表!A126</f>
        <v/>
      </c>
      <c r="B12" s="3495"/>
      <c r="C12" s="3495"/>
      <c r="D12" s="3495" t="str">
        <f>结果表!D126</f>
        <v>——</v>
      </c>
      <c r="E12" s="3495"/>
      <c r="F12" s="3495"/>
      <c r="G12" s="3495"/>
      <c r="H12" s="3495"/>
      <c r="I12" s="3495"/>
    </row>
    <row r="13" spans="1:9" ht="15.6" thickBot="1">
      <c r="A13" s="3499" t="s">
        <v>927</v>
      </c>
      <c r="B13" s="3499"/>
      <c r="C13" s="3499"/>
      <c r="D13" s="3499" t="e">
        <f>结果表!D127</f>
        <v>#VALUE!</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1" t="s">
        <v>949</v>
      </c>
      <c r="B1" s="3501"/>
      <c r="C1" s="3501"/>
      <c r="D1" s="3501"/>
    </row>
    <row r="2" spans="1:4" ht="17.399999999999999">
      <c r="A2" s="3502" t="s">
        <v>933</v>
      </c>
      <c r="B2" s="3502"/>
      <c r="C2" s="3502"/>
      <c r="D2" s="350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2" t="s">
        <v>939</v>
      </c>
      <c r="B6" s="3502"/>
      <c r="C6" s="3502"/>
      <c r="D6" s="350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3"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4" t="str">
        <f>IF(项目基本情况!B8="抵押","3.抵押双方在办理抵押登记手续时，应使用本公司出具的正式《房地产评估报告》，特提醒报告使用者注意。","——")</f>
        <v>——</v>
      </c>
      <c r="B13" s="3505"/>
      <c r="C13" s="3505"/>
      <c r="D13" s="3505"/>
    </row>
    <row r="14" spans="1:4" ht="15.75" customHeight="1">
      <c r="A14" s="3504" t="str">
        <f>IF(项目基本情况!B8="抵押","4.本次评估估价师所知悉的法定优先受偿款情况说明如下：","——")</f>
        <v>——</v>
      </c>
      <c r="B14" s="3505"/>
      <c r="C14" s="3505"/>
      <c r="D14" s="3505"/>
    </row>
    <row r="15" spans="1:4" ht="42" customHeight="1">
      <c r="A15" s="3504" t="str">
        <f>IF(项目基本情况!B8="抵押","（1）"&amp;CONCATENATE(项目基本情况!L20,项目基本情况!L21,项目基本情况!L22),"——")</f>
        <v>——</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5" t="s">
        <v>956</v>
      </c>
      <c r="B15" s="3510" t="s">
        <v>109</v>
      </c>
      <c r="C15" s="3511"/>
    </row>
    <row r="16" spans="1:7" ht="14.4">
      <c r="A16" s="3516"/>
      <c r="B16" s="3510" t="s">
        <v>42</v>
      </c>
      <c r="C16" s="3511"/>
    </row>
    <row r="17" spans="1:3" ht="14.4">
      <c r="A17" s="3516"/>
      <c r="B17" s="3513" t="s">
        <v>957</v>
      </c>
      <c r="C17" s="1532" t="s">
        <v>956</v>
      </c>
    </row>
    <row r="18" spans="1:3" ht="14.4">
      <c r="A18" s="3516"/>
      <c r="B18" s="3513"/>
      <c r="C18" s="1532" t="s">
        <v>958</v>
      </c>
    </row>
    <row r="19" spans="1:3" ht="14.4">
      <c r="A19" s="3516"/>
      <c r="B19" s="3513"/>
      <c r="C19" s="1532" t="s">
        <v>959</v>
      </c>
    </row>
    <row r="20" spans="1:3" ht="14.4">
      <c r="A20" s="3517"/>
      <c r="B20" s="3512" t="s">
        <v>960</v>
      </c>
      <c r="C20" s="3511"/>
    </row>
    <row r="21" spans="1:3" ht="14.4">
      <c r="A21" s="1533" t="s">
        <v>961</v>
      </c>
      <c r="B21" s="1534"/>
      <c r="C21" s="1535"/>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2" t="s">
        <v>967</v>
      </c>
    </row>
    <row r="26" spans="1:3" ht="14.4">
      <c r="A26" s="3514"/>
      <c r="B26" s="3513"/>
      <c r="C26" s="1532" t="s">
        <v>968</v>
      </c>
    </row>
    <row r="27" spans="1:3" ht="14.4">
      <c r="A27" s="3514"/>
      <c r="B27" s="3513"/>
      <c r="C27" s="1532" t="s">
        <v>969</v>
      </c>
    </row>
    <row r="28" spans="1:3" ht="14.4">
      <c r="A28" s="3514"/>
      <c r="B28" s="3513"/>
      <c r="C28" s="1532" t="s">
        <v>970</v>
      </c>
    </row>
    <row r="29" spans="1:3" ht="14.4">
      <c r="A29" s="3514"/>
      <c r="B29" s="3513"/>
      <c r="C29" s="1532" t="s">
        <v>971</v>
      </c>
    </row>
    <row r="30" spans="1:3" ht="14.4">
      <c r="A30" s="3514"/>
      <c r="B30" s="3513"/>
      <c r="C30" s="1532" t="s">
        <v>972</v>
      </c>
    </row>
    <row r="31" spans="1:3" ht="14.4">
      <c r="A31" s="3514"/>
      <c r="B31" s="3513"/>
      <c r="C31" s="1532" t="s">
        <v>973</v>
      </c>
    </row>
    <row r="32" spans="1:3" ht="14.4">
      <c r="A32" s="3514"/>
      <c r="B32" s="3513"/>
      <c r="C32" s="1532" t="s">
        <v>974</v>
      </c>
    </row>
    <row r="33" spans="1:3" ht="14.4">
      <c r="A33" s="3514"/>
      <c r="B33" s="351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常用公式</vt:lpstr>
      <vt:lpstr>项目基本情况</vt:lpstr>
      <vt:lpstr>数据-基础表</vt:lpstr>
      <vt:lpstr>数据-汇总表</vt:lpstr>
      <vt:lpstr>数据-取费表</vt:lpstr>
      <vt:lpstr>估价对象房地状况</vt:lpstr>
      <vt:lpstr>系统读取表</vt:lpstr>
      <vt:lpstr>结果表</vt:lpstr>
      <vt:lpstr>汇总表</vt:lpstr>
      <vt:lpstr>成本法-仓库5.6</vt:lpstr>
      <vt:lpstr>成本法-办公楼1</vt:lpstr>
      <vt:lpstr>基准地价修正</vt:lpstr>
      <vt:lpstr>成本法</vt:lpstr>
      <vt:lpstr>假设开发法</vt:lpstr>
      <vt:lpstr>收益法</vt:lpstr>
      <vt:lpstr>收益法 -办公楼1</vt:lpstr>
      <vt:lpstr>收益法-仓库5.6</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'成本法-办公楼1'!Print_Area</vt:lpstr>
      <vt:lpstr>'成本法-仓库5.6'!Print_Area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-办公楼1'!Print_Area</vt:lpstr>
      <vt:lpstr>'收益法（汇总）'!Print_Area</vt:lpstr>
      <vt:lpstr>'收益法-仓库5.6'!Print_Area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2025-02-18T03:55:49Z</dcterms:modified>
</cp:coreProperties>
</file>