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9" activeTab="24"/>
  </bookViews>
  <sheets>
    <sheet name="Sheet1 (2)" sheetId="79" r:id="rId1"/>
    <sheet name="致函链接" sheetId="72" state="hidden" r:id="rId2"/>
    <sheet name="预评函-封皮" sheetId="48" state="hidden" r:id="rId3"/>
    <sheet name="预评函-1" sheetId="51" state="hidden" r:id="rId4"/>
    <sheet name="预评函-2" sheetId="53" state="hidden" r:id="rId5"/>
    <sheet name="预评函-3" sheetId="52" state="hidden" r:id="rId6"/>
    <sheet name="预评函-4" sheetId="62" state="hidden" r:id="rId7"/>
    <sheet name="预评函-5" sheetId="64" state="hidden" r:id="rId8"/>
    <sheet name="使用说明" sheetId="41" state="hidden" r:id="rId9"/>
    <sheet name="估价师及机构信息" sheetId="49" state="hidden"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Sheet1" sheetId="77" r:id="rId23"/>
    <sheet name="假设开发法" sheetId="12" state="hidden"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80"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19">成本法!$A$1:$G$52</definedName>
    <definedName name="_xlnm.Print_Area" localSheetId="9">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B3" i="80"/>
  <c r="C3"/>
  <c r="D3"/>
  <c r="E3"/>
  <c r="F3"/>
  <c r="G3"/>
  <c r="H3"/>
  <c r="A3"/>
  <c r="B3" i="4" l="1"/>
  <c r="I38" i="39" l="1"/>
  <c r="I7"/>
  <c r="I5"/>
  <c r="I46"/>
  <c r="G46"/>
  <c r="G38"/>
  <c r="G7"/>
  <c r="G5"/>
  <c r="E46"/>
  <c r="E38"/>
  <c r="C38"/>
  <c r="E7"/>
  <c r="E5"/>
  <c r="F19" i="6"/>
  <c r="C19"/>
  <c r="N57" i="79"/>
  <c r="N56"/>
  <c r="N55"/>
  <c r="N54"/>
  <c r="N53"/>
  <c r="N52"/>
  <c r="N51"/>
  <c r="N50"/>
  <c r="N49"/>
  <c r="N48"/>
  <c r="N47"/>
  <c r="N46"/>
  <c r="N45"/>
  <c r="N44"/>
  <c r="N43"/>
  <c r="N42"/>
  <c r="N41"/>
  <c r="N40"/>
  <c r="N39"/>
  <c r="N38"/>
  <c r="N37"/>
  <c r="N36"/>
  <c r="N35"/>
  <c r="N34"/>
  <c r="N33"/>
  <c r="N32"/>
  <c r="N31"/>
  <c r="N30"/>
  <c r="N29"/>
  <c r="N28"/>
  <c r="N27"/>
  <c r="N26"/>
  <c r="N25"/>
  <c r="N24"/>
  <c r="N23"/>
  <c r="N22"/>
  <c r="N21"/>
  <c r="N20"/>
  <c r="N19"/>
  <c r="N18"/>
  <c r="N17"/>
  <c r="N16"/>
  <c r="N15"/>
  <c r="N14"/>
  <c r="N13"/>
  <c r="N12"/>
  <c r="N11"/>
  <c r="N10"/>
  <c r="N9"/>
  <c r="N8"/>
  <c r="N7"/>
  <c r="N6"/>
  <c r="N5"/>
  <c r="N4"/>
  <c r="N3"/>
  <c r="N2"/>
  <c r="N56" i="77"/>
  <c r="N57"/>
  <c r="N55"/>
  <c r="N54"/>
  <c r="N52"/>
  <c r="N53"/>
  <c r="N51"/>
  <c r="N50"/>
  <c r="N49"/>
  <c r="N48"/>
  <c r="N47"/>
  <c r="N46"/>
  <c r="N45"/>
  <c r="N42"/>
  <c r="N43"/>
  <c r="N41"/>
  <c r="N44"/>
  <c r="N40"/>
  <c r="N39"/>
  <c r="N38"/>
  <c r="N36"/>
  <c r="N37"/>
  <c r="N35"/>
  <c r="N34"/>
  <c r="N33"/>
  <c r="N32"/>
  <c r="N31"/>
  <c r="N29"/>
  <c r="N30"/>
  <c r="N28"/>
  <c r="N26"/>
  <c r="N25"/>
  <c r="N27"/>
  <c r="N24"/>
  <c r="N22"/>
  <c r="N21"/>
  <c r="N23"/>
  <c r="N20"/>
  <c r="N19"/>
  <c r="N18"/>
  <c r="N16"/>
  <c r="N17"/>
  <c r="N15"/>
  <c r="N13"/>
  <c r="N14"/>
  <c r="N12"/>
  <c r="N11"/>
  <c r="N10"/>
  <c r="N7"/>
  <c r="N8"/>
  <c r="N6"/>
  <c r="N9"/>
  <c r="N3"/>
  <c r="N5"/>
  <c r="N4"/>
  <c r="N2"/>
  <c r="N6" i="71" l="1"/>
  <c r="AH5"/>
  <c r="AG5"/>
  <c r="AE5"/>
  <c r="AF5"/>
  <c r="AD5"/>
  <c r="Q6"/>
  <c r="P6"/>
  <c r="O6"/>
  <c r="N5"/>
  <c r="Q5"/>
  <c r="P5"/>
  <c r="O5"/>
  <c r="M19" i="43"/>
  <c r="D8" i="71"/>
  <c r="AH6"/>
  <c r="AG6"/>
  <c r="AE6"/>
  <c r="AF6" s="1"/>
  <c r="AD6"/>
  <c r="L3"/>
  <c r="K3"/>
  <c r="AG3" s="1"/>
  <c r="I3"/>
  <c r="J3"/>
  <c r="AD7"/>
  <c r="AG7"/>
  <c r="AH7"/>
  <c r="AE7"/>
  <c r="AF7" s="1"/>
  <c r="N7"/>
  <c r="Q7"/>
  <c r="P7"/>
  <c r="E7" s="1"/>
  <c r="O7"/>
  <c r="Q8"/>
  <c r="F7"/>
  <c r="F6" s="1"/>
  <c r="F5" s="1"/>
  <c r="P8"/>
  <c r="O8"/>
  <c r="N8"/>
  <c r="A2" i="53"/>
  <c r="K59" i="67"/>
  <c r="K59" i="15"/>
  <c r="P74" s="1"/>
  <c r="D116" i="39"/>
  <c r="E116"/>
  <c r="F116"/>
  <c r="G116"/>
  <c r="H116"/>
  <c r="I116"/>
  <c r="J116"/>
  <c r="K116"/>
  <c r="L116"/>
  <c r="M116"/>
  <c r="C116"/>
  <c r="A21" i="62"/>
  <c r="A20"/>
  <c r="B66" i="72" s="1"/>
  <c r="A22" i="51"/>
  <c r="A21"/>
  <c r="B16" i="72" s="1"/>
  <c r="A20" i="51"/>
  <c r="A15" i="62"/>
  <c r="A14"/>
  <c r="A13"/>
  <c r="B59" i="72" s="1"/>
  <c r="A19" i="62"/>
  <c r="A12"/>
  <c r="B58" i="72" s="1"/>
  <c r="A120" i="9"/>
  <c r="H2" i="52"/>
  <c r="A1"/>
  <c r="A3" i="53"/>
  <c r="Q9" i="71"/>
  <c r="P9"/>
  <c r="O9"/>
  <c r="N9"/>
  <c r="D5" i="43"/>
  <c r="A15" i="51"/>
  <c r="B12" i="72" s="1"/>
  <c r="C76" i="9"/>
  <c r="I107" i="40"/>
  <c r="K6" i="4"/>
  <c r="M56" i="9" s="1"/>
  <c r="B22" i="31"/>
  <c r="N56" i="9"/>
  <c r="K56"/>
  <c r="E16" i="74"/>
  <c r="F16"/>
  <c r="E17"/>
  <c r="F17"/>
  <c r="E18"/>
  <c r="F18"/>
  <c r="E19"/>
  <c r="F19"/>
  <c r="E20"/>
  <c r="F20"/>
  <c r="E21"/>
  <c r="F21"/>
  <c r="E22"/>
  <c r="F22"/>
  <c r="E23"/>
  <c r="F23"/>
  <c r="B3"/>
  <c r="C91" i="9"/>
  <c r="B8" i="72"/>
  <c r="O10" i="71"/>
  <c r="P10"/>
  <c r="Q10"/>
  <c r="N10"/>
  <c r="AE3"/>
  <c r="AF3" s="1"/>
  <c r="AH3"/>
  <c r="AD8"/>
  <c r="AE8"/>
  <c r="AF8"/>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D19"/>
  <c r="AE19"/>
  <c r="AF19" s="1"/>
  <c r="AG19"/>
  <c r="AH19"/>
  <c r="AD20"/>
  <c r="AE20"/>
  <c r="AF20"/>
  <c r="AG20"/>
  <c r="AH20"/>
  <c r="AD21"/>
  <c r="AE21"/>
  <c r="AF21" s="1"/>
  <c r="AG21"/>
  <c r="AH21"/>
  <c r="AH22"/>
  <c r="AG22"/>
  <c r="AE22"/>
  <c r="AF22" s="1"/>
  <c r="AD22"/>
  <c r="AD23"/>
  <c r="AE23"/>
  <c r="AF23" s="1"/>
  <c r="AG23"/>
  <c r="AH23"/>
  <c r="S2" i="31"/>
  <c r="M2"/>
  <c r="N2"/>
  <c r="O2"/>
  <c r="P2"/>
  <c r="Q2"/>
  <c r="R2"/>
  <c r="C1" i="73"/>
  <c r="L1" s="1"/>
  <c r="B74" i="72"/>
  <c r="Y12" i="43"/>
  <c r="Y10"/>
  <c r="AJ9"/>
  <c r="AJ12" s="1"/>
  <c r="AI9"/>
  <c r="AI12" s="1"/>
  <c r="AH9"/>
  <c r="AG9"/>
  <c r="AF9"/>
  <c r="AF12" s="1"/>
  <c r="AE9"/>
  <c r="AE12" s="1"/>
  <c r="AD9"/>
  <c r="AC9"/>
  <c r="AB9"/>
  <c r="AB12" s="1"/>
  <c r="AA9"/>
  <c r="AA12" s="1"/>
  <c r="Z9"/>
  <c r="AA10"/>
  <c r="AE10"/>
  <c r="AI10"/>
  <c r="AB10"/>
  <c r="AF10"/>
  <c r="AJ10"/>
  <c r="K49" i="9"/>
  <c r="E107"/>
  <c r="A122" s="1"/>
  <c r="A8" i="52" s="1"/>
  <c r="E111" i="9"/>
  <c r="A126"/>
  <c r="E109"/>
  <c r="A124"/>
  <c r="A10" i="52" s="1"/>
  <c r="B55" i="72" s="1"/>
  <c r="B44"/>
  <c r="B42"/>
  <c r="B69"/>
  <c r="B68"/>
  <c r="B63"/>
  <c r="B62"/>
  <c r="B65"/>
  <c r="B60"/>
  <c r="B67"/>
  <c r="B10"/>
  <c r="C53" i="10"/>
  <c r="B51"/>
  <c r="B19" i="72"/>
  <c r="A18" i="51"/>
  <c r="B13" i="72" s="1"/>
  <c r="C8" i="68"/>
  <c r="B49" i="48"/>
  <c r="B5" i="72" s="1"/>
  <c r="I19" i="43"/>
  <c r="D72" i="71"/>
  <c r="F71"/>
  <c r="F70" s="1"/>
  <c r="E71"/>
  <c r="E70"/>
  <c r="E69" s="1"/>
  <c r="C71"/>
  <c r="D71" s="1"/>
  <c r="B71"/>
  <c r="F69"/>
  <c r="B70"/>
  <c r="B69"/>
  <c r="D68"/>
  <c r="F67"/>
  <c r="F66" s="1"/>
  <c r="F65" s="1"/>
  <c r="E67"/>
  <c r="E66"/>
  <c r="E65" s="1"/>
  <c r="C67"/>
  <c r="D67" s="1"/>
  <c r="B67"/>
  <c r="B66" s="1"/>
  <c r="B65" s="1"/>
  <c r="D64"/>
  <c r="Q63"/>
  <c r="P63"/>
  <c r="O63"/>
  <c r="N63"/>
  <c r="F63"/>
  <c r="V63" s="1"/>
  <c r="E63"/>
  <c r="U63" s="1"/>
  <c r="C63"/>
  <c r="T63" s="1"/>
  <c r="B63"/>
  <c r="S63" s="1"/>
  <c r="Q62"/>
  <c r="P62"/>
  <c r="O62"/>
  <c r="N62"/>
  <c r="F62"/>
  <c r="F61" s="1"/>
  <c r="B62"/>
  <c r="B61" s="1"/>
  <c r="Q61"/>
  <c r="P61"/>
  <c r="O61"/>
  <c r="N61"/>
  <c r="Q60"/>
  <c r="P60"/>
  <c r="O60"/>
  <c r="N60"/>
  <c r="D60"/>
  <c r="Q59"/>
  <c r="P59"/>
  <c r="O59"/>
  <c r="N59"/>
  <c r="F59"/>
  <c r="V59"/>
  <c r="E59"/>
  <c r="U59"/>
  <c r="C59"/>
  <c r="T59"/>
  <c r="B59"/>
  <c r="S59"/>
  <c r="Q58"/>
  <c r="P58"/>
  <c r="O58"/>
  <c r="N58"/>
  <c r="F58"/>
  <c r="F57"/>
  <c r="B58"/>
  <c r="B57"/>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F51"/>
  <c r="V51"/>
  <c r="E51"/>
  <c r="P51"/>
  <c r="C51"/>
  <c r="B51"/>
  <c r="S51" s="1"/>
  <c r="F50"/>
  <c r="F49" s="1"/>
  <c r="Q49" s="1"/>
  <c r="D48"/>
  <c r="Q47"/>
  <c r="P47"/>
  <c r="O47"/>
  <c r="N47"/>
  <c r="Q46"/>
  <c r="P46"/>
  <c r="O46"/>
  <c r="N46"/>
  <c r="Q45"/>
  <c r="P45"/>
  <c r="O45"/>
  <c r="N45"/>
  <c r="Q44"/>
  <c r="F45"/>
  <c r="F46" s="1"/>
  <c r="F47" s="1"/>
  <c r="V47" s="1"/>
  <c r="P44"/>
  <c r="E45" s="1"/>
  <c r="O44"/>
  <c r="C45" s="1"/>
  <c r="C46" s="1"/>
  <c r="N44"/>
  <c r="B45" s="1"/>
  <c r="B46" s="1"/>
  <c r="B47" s="1"/>
  <c r="S47" s="1"/>
  <c r="D44"/>
  <c r="Q43"/>
  <c r="P43"/>
  <c r="O43"/>
  <c r="N43"/>
  <c r="Q42"/>
  <c r="P42"/>
  <c r="O42"/>
  <c r="N42"/>
  <c r="Q41"/>
  <c r="P41"/>
  <c r="O41"/>
  <c r="N41"/>
  <c r="Q40"/>
  <c r="F41" s="1"/>
  <c r="F42" s="1"/>
  <c r="F43" s="1"/>
  <c r="V43" s="1"/>
  <c r="P40"/>
  <c r="E41"/>
  <c r="O40"/>
  <c r="C41"/>
  <c r="N40"/>
  <c r="B41"/>
  <c r="B42" s="1"/>
  <c r="B43"/>
  <c r="S43" s="1"/>
  <c r="D40"/>
  <c r="Q39"/>
  <c r="P39"/>
  <c r="O39"/>
  <c r="N39"/>
  <c r="Q38"/>
  <c r="P38"/>
  <c r="O38"/>
  <c r="N38"/>
  <c r="Q37"/>
  <c r="P37"/>
  <c r="O37"/>
  <c r="N37"/>
  <c r="Q36"/>
  <c r="F37" s="1"/>
  <c r="F38" s="1"/>
  <c r="F39" s="1"/>
  <c r="V39" s="1"/>
  <c r="P36"/>
  <c r="E37"/>
  <c r="O36"/>
  <c r="C37" s="1"/>
  <c r="N36"/>
  <c r="B37" s="1"/>
  <c r="B38" s="1"/>
  <c r="B39" s="1"/>
  <c r="S39" s="1"/>
  <c r="D36"/>
  <c r="Q35"/>
  <c r="P35"/>
  <c r="O35"/>
  <c r="N35"/>
  <c r="Q34"/>
  <c r="P34"/>
  <c r="O34"/>
  <c r="N34"/>
  <c r="Q33"/>
  <c r="P33"/>
  <c r="O33"/>
  <c r="C34" s="1"/>
  <c r="N33"/>
  <c r="Q32"/>
  <c r="F33" s="1"/>
  <c r="F34" s="1"/>
  <c r="F35" s="1"/>
  <c r="V35" s="1"/>
  <c r="P32"/>
  <c r="E33" s="1"/>
  <c r="E34"/>
  <c r="E35" s="1"/>
  <c r="U35" s="1"/>
  <c r="O32"/>
  <c r="C33"/>
  <c r="N32"/>
  <c r="B33"/>
  <c r="B34" s="1"/>
  <c r="B35"/>
  <c r="S35" s="1"/>
  <c r="D32"/>
  <c r="T31"/>
  <c r="Q31"/>
  <c r="P31"/>
  <c r="O31"/>
  <c r="N31"/>
  <c r="D31"/>
  <c r="Q30"/>
  <c r="P30"/>
  <c r="O30"/>
  <c r="N30"/>
  <c r="Q29"/>
  <c r="P29"/>
  <c r="O29"/>
  <c r="N29"/>
  <c r="Q28"/>
  <c r="F29" s="1"/>
  <c r="F30" s="1"/>
  <c r="F31" s="1"/>
  <c r="V31" s="1"/>
  <c r="P28"/>
  <c r="E29" s="1"/>
  <c r="E30"/>
  <c r="E31" s="1"/>
  <c r="U31" s="1"/>
  <c r="O28"/>
  <c r="C29"/>
  <c r="N28"/>
  <c r="B29"/>
  <c r="B30" s="1"/>
  <c r="B31"/>
  <c r="S31" s="1"/>
  <c r="D28"/>
  <c r="Q27"/>
  <c r="P27"/>
  <c r="O27"/>
  <c r="N27"/>
  <c r="Q26"/>
  <c r="P26"/>
  <c r="O26"/>
  <c r="N26"/>
  <c r="Q25"/>
  <c r="P25"/>
  <c r="O25"/>
  <c r="N25"/>
  <c r="Q24"/>
  <c r="F25" s="1"/>
  <c r="F26" s="1"/>
  <c r="F27" s="1"/>
  <c r="V27" s="1"/>
  <c r="P24"/>
  <c r="E25" s="1"/>
  <c r="E26"/>
  <c r="E27" s="1"/>
  <c r="U27" s="1"/>
  <c r="O24"/>
  <c r="C25"/>
  <c r="N24"/>
  <c r="B25"/>
  <c r="B26" s="1"/>
  <c r="B27"/>
  <c r="S27" s="1"/>
  <c r="D24"/>
  <c r="Q23"/>
  <c r="P23"/>
  <c r="O23"/>
  <c r="N23"/>
  <c r="Q22"/>
  <c r="AB22" s="1"/>
  <c r="P22"/>
  <c r="AA22"/>
  <c r="O22"/>
  <c r="Y22"/>
  <c r="Z22" s="1"/>
  <c r="N22"/>
  <c r="X22" s="1"/>
  <c r="Q21"/>
  <c r="AB21" s="1"/>
  <c r="P21"/>
  <c r="O21"/>
  <c r="Y21"/>
  <c r="Z21" s="1"/>
  <c r="N21"/>
  <c r="X21" s="1"/>
  <c r="Q20"/>
  <c r="F21" s="1"/>
  <c r="F22" s="1"/>
  <c r="F23" s="1"/>
  <c r="V23" s="1"/>
  <c r="P20"/>
  <c r="E21" s="1"/>
  <c r="E22" s="1"/>
  <c r="E23" s="1"/>
  <c r="U23" s="1"/>
  <c r="O20"/>
  <c r="N20"/>
  <c r="D20"/>
  <c r="Q19"/>
  <c r="AB19" s="1"/>
  <c r="P19"/>
  <c r="O19"/>
  <c r="Y19"/>
  <c r="Z19" s="1"/>
  <c r="N19"/>
  <c r="X19" s="1"/>
  <c r="Q18"/>
  <c r="AB18"/>
  <c r="P18"/>
  <c r="O18"/>
  <c r="Y18" s="1"/>
  <c r="Z18" s="1"/>
  <c r="N18"/>
  <c r="X16" s="1"/>
  <c r="Q17"/>
  <c r="AB17"/>
  <c r="P17"/>
  <c r="O17"/>
  <c r="Y17" s="1"/>
  <c r="Z17" s="1"/>
  <c r="N17"/>
  <c r="Q16"/>
  <c r="F17" s="1"/>
  <c r="F18" s="1"/>
  <c r="F19" s="1"/>
  <c r="V19" s="1"/>
  <c r="P16"/>
  <c r="O16"/>
  <c r="N16"/>
  <c r="D16"/>
  <c r="Q15"/>
  <c r="AB15"/>
  <c r="P15"/>
  <c r="O15"/>
  <c r="Y15" s="1"/>
  <c r="Z15" s="1"/>
  <c r="N15"/>
  <c r="Q14"/>
  <c r="AB14" s="1"/>
  <c r="P14"/>
  <c r="AA13" s="1"/>
  <c r="O14"/>
  <c r="Y14"/>
  <c r="Z14" s="1"/>
  <c r="N14"/>
  <c r="X12" s="1"/>
  <c r="Q13"/>
  <c r="AB13"/>
  <c r="P13"/>
  <c r="O13"/>
  <c r="Y13" s="1"/>
  <c r="Z13" s="1"/>
  <c r="N13"/>
  <c r="Q12"/>
  <c r="AB12" s="1"/>
  <c r="P12"/>
  <c r="O12"/>
  <c r="Y12" s="1"/>
  <c r="Z12" s="1"/>
  <c r="N12"/>
  <c r="D12"/>
  <c r="O11"/>
  <c r="N11"/>
  <c r="B11" s="1"/>
  <c r="B13"/>
  <c r="B14"/>
  <c r="B15" s="1"/>
  <c r="S15" s="1"/>
  <c r="E13"/>
  <c r="E14" s="1"/>
  <c r="E15" s="1"/>
  <c r="U15" s="1"/>
  <c r="AA12"/>
  <c r="B17"/>
  <c r="B18"/>
  <c r="B19" s="1"/>
  <c r="S19" s="1"/>
  <c r="B21"/>
  <c r="B22" s="1"/>
  <c r="B23" s="1"/>
  <c r="S23" s="1"/>
  <c r="X20"/>
  <c r="N51"/>
  <c r="E17"/>
  <c r="E18"/>
  <c r="E19" s="1"/>
  <c r="U19" s="1"/>
  <c r="C13"/>
  <c r="C14" s="1"/>
  <c r="X13"/>
  <c r="X14"/>
  <c r="X15"/>
  <c r="C17"/>
  <c r="C18" s="1"/>
  <c r="Y16"/>
  <c r="Z16" s="1"/>
  <c r="AB16"/>
  <c r="AA17"/>
  <c r="AA18"/>
  <c r="AA19"/>
  <c r="C21"/>
  <c r="Y20"/>
  <c r="Z20" s="1"/>
  <c r="AB20"/>
  <c r="AA21"/>
  <c r="C11"/>
  <c r="T11" s="1"/>
  <c r="X8"/>
  <c r="X10"/>
  <c r="X11"/>
  <c r="D13"/>
  <c r="C22"/>
  <c r="D22" s="1"/>
  <c r="D21"/>
  <c r="C26"/>
  <c r="D26" s="1"/>
  <c r="D25"/>
  <c r="C30"/>
  <c r="D30" s="1"/>
  <c r="D29"/>
  <c r="D33"/>
  <c r="P11"/>
  <c r="E38"/>
  <c r="E39" s="1"/>
  <c r="U39" s="1"/>
  <c r="E42"/>
  <c r="E43"/>
  <c r="U43" s="1"/>
  <c r="E46"/>
  <c r="E47" s="1"/>
  <c r="U47" s="1"/>
  <c r="Q48"/>
  <c r="U51"/>
  <c r="E50"/>
  <c r="Q11"/>
  <c r="AB3" s="1"/>
  <c r="C38"/>
  <c r="D37"/>
  <c r="C42"/>
  <c r="D41"/>
  <c r="D45"/>
  <c r="Q50"/>
  <c r="T51"/>
  <c r="O51"/>
  <c r="D51"/>
  <c r="C50"/>
  <c r="Q51"/>
  <c r="C54"/>
  <c r="E54"/>
  <c r="E53" s="1"/>
  <c r="D55"/>
  <c r="C58"/>
  <c r="E58"/>
  <c r="E57" s="1"/>
  <c r="D59"/>
  <c r="C62"/>
  <c r="E62"/>
  <c r="E61" s="1"/>
  <c r="D63"/>
  <c r="C66"/>
  <c r="C70"/>
  <c r="D70" s="1"/>
  <c r="C10"/>
  <c r="F11"/>
  <c r="F10" s="1"/>
  <c r="F9" s="1"/>
  <c r="AB8"/>
  <c r="AB10"/>
  <c r="E11"/>
  <c r="E10" s="1"/>
  <c r="E9" s="1"/>
  <c r="AA8"/>
  <c r="AA10"/>
  <c r="D11"/>
  <c r="U11" s="1"/>
  <c r="C49"/>
  <c r="D49" s="1"/>
  <c r="O50"/>
  <c r="D50"/>
  <c r="D66"/>
  <c r="C65"/>
  <c r="D65" s="1"/>
  <c r="D58"/>
  <c r="C57"/>
  <c r="D57"/>
  <c r="C69"/>
  <c r="D69" s="1"/>
  <c r="D62"/>
  <c r="C61"/>
  <c r="D61"/>
  <c r="D54"/>
  <c r="C53"/>
  <c r="D53" s="1"/>
  <c r="C43"/>
  <c r="T43" s="1"/>
  <c r="D42"/>
  <c r="C39"/>
  <c r="T39" s="1"/>
  <c r="D38"/>
  <c r="P50"/>
  <c r="E49"/>
  <c r="C27"/>
  <c r="T27" s="1"/>
  <c r="C23"/>
  <c r="T23" s="1"/>
  <c r="C9"/>
  <c r="D9" s="1"/>
  <c r="D10"/>
  <c r="P48"/>
  <c r="P49"/>
  <c r="O49"/>
  <c r="O48"/>
  <c r="D23"/>
  <c r="D27"/>
  <c r="D39"/>
  <c r="D43"/>
  <c r="O27" i="6"/>
  <c r="N27"/>
  <c r="P20"/>
  <c r="P21"/>
  <c r="P22"/>
  <c r="P23"/>
  <c r="P24"/>
  <c r="P25"/>
  <c r="P26"/>
  <c r="P19"/>
  <c r="P27" s="1"/>
  <c r="AP8" i="1"/>
  <c r="AP9"/>
  <c r="AP10"/>
  <c r="AP11"/>
  <c r="AP12"/>
  <c r="AP13"/>
  <c r="L21" i="6"/>
  <c r="L22"/>
  <c r="L23"/>
  <c r="L24"/>
  <c r="L25"/>
  <c r="L26"/>
  <c r="A7" i="70"/>
  <c r="A8"/>
  <c r="E8"/>
  <c r="A9"/>
  <c r="E9"/>
  <c r="A10"/>
  <c r="E10"/>
  <c r="A11"/>
  <c r="E11"/>
  <c r="A12"/>
  <c r="E12"/>
  <c r="A13"/>
  <c r="E13"/>
  <c r="A6"/>
  <c r="Q25" i="40"/>
  <c r="Z25" s="1"/>
  <c r="D94"/>
  <c r="E94" s="1"/>
  <c r="F94" s="1"/>
  <c r="G94" s="1"/>
  <c r="F25"/>
  <c r="AA25" s="1"/>
  <c r="Z29" i="39"/>
  <c r="Q29"/>
  <c r="D103"/>
  <c r="E103" s="1"/>
  <c r="F103" s="1"/>
  <c r="G103" s="1"/>
  <c r="F29"/>
  <c r="AA29" s="1"/>
  <c r="Q18" i="36"/>
  <c r="Z18" s="1"/>
  <c r="D66"/>
  <c r="E66" s="1"/>
  <c r="F66" s="1"/>
  <c r="G66" s="1"/>
  <c r="H18"/>
  <c r="AB18"/>
  <c r="F18"/>
  <c r="AA18"/>
  <c r="C18"/>
  <c r="Z18" i="35"/>
  <c r="Q18"/>
  <c r="D68"/>
  <c r="E68" s="1"/>
  <c r="F68" s="1"/>
  <c r="F18"/>
  <c r="AA18" s="1"/>
  <c r="C18"/>
  <c r="Q21" i="37"/>
  <c r="Z21" s="1"/>
  <c r="D77"/>
  <c r="E77"/>
  <c r="C21"/>
  <c r="Z21" i="34"/>
  <c r="Q21"/>
  <c r="D84"/>
  <c r="E84" s="1"/>
  <c r="F84" s="1"/>
  <c r="G84" s="1"/>
  <c r="F21"/>
  <c r="AA21" s="1"/>
  <c r="C21"/>
  <c r="Q21" i="33"/>
  <c r="Z21" s="1"/>
  <c r="D83"/>
  <c r="E83"/>
  <c r="F83" s="1"/>
  <c r="G83" s="1"/>
  <c r="C21"/>
  <c r="C21" i="21"/>
  <c r="Q21"/>
  <c r="Z21"/>
  <c r="H19"/>
  <c r="D83"/>
  <c r="F21"/>
  <c r="AA21"/>
  <c r="D81"/>
  <c r="G20" i="20"/>
  <c r="B86" i="43" s="1"/>
  <c r="C22" i="20"/>
  <c r="B75" i="43" s="1"/>
  <c r="B55"/>
  <c r="C25" i="40"/>
  <c r="S25"/>
  <c r="S18" i="36"/>
  <c r="U18"/>
  <c r="S21" i="34"/>
  <c r="H25" i="40"/>
  <c r="AB25" s="1"/>
  <c r="J25"/>
  <c r="AC25" s="1"/>
  <c r="H29" i="39"/>
  <c r="AB29" s="1"/>
  <c r="J29"/>
  <c r="AC29" s="1"/>
  <c r="J18" i="36"/>
  <c r="AC18" s="1"/>
  <c r="H18" i="35"/>
  <c r="AB18" s="1"/>
  <c r="G68"/>
  <c r="J18"/>
  <c r="F77" i="37"/>
  <c r="G77" s="1"/>
  <c r="H21"/>
  <c r="F21"/>
  <c r="AA21" s="1"/>
  <c r="H21" i="34"/>
  <c r="AB21" s="1"/>
  <c r="H21" i="33"/>
  <c r="U21" s="1"/>
  <c r="F21"/>
  <c r="E83" i="21"/>
  <c r="F83" s="1"/>
  <c r="S21"/>
  <c r="H1" i="69"/>
  <c r="W25" i="40"/>
  <c r="U25"/>
  <c r="W29" i="39"/>
  <c r="W18" i="36"/>
  <c r="AB21" i="37"/>
  <c r="U21"/>
  <c r="S21"/>
  <c r="U21" i="34"/>
  <c r="AB21" i="33"/>
  <c r="AA21"/>
  <c r="S21"/>
  <c r="U18" i="35"/>
  <c r="AC18"/>
  <c r="W18"/>
  <c r="J21" i="37"/>
  <c r="W21" s="1"/>
  <c r="J21" i="34"/>
  <c r="W21" s="1"/>
  <c r="J21" i="33"/>
  <c r="W21" s="1"/>
  <c r="H21" i="21"/>
  <c r="U21" s="1"/>
  <c r="F38" i="69"/>
  <c r="E37"/>
  <c r="F36"/>
  <c r="F35"/>
  <c r="F21"/>
  <c r="C21" s="1"/>
  <c r="F20"/>
  <c r="E10"/>
  <c r="E9"/>
  <c r="F7"/>
  <c r="C7" s="1"/>
  <c r="AC21" i="37"/>
  <c r="AC21" i="34"/>
  <c r="AC21" i="33"/>
  <c r="AB21" i="21"/>
  <c r="G83"/>
  <c r="J21"/>
  <c r="F38" i="68"/>
  <c r="E37"/>
  <c r="F36"/>
  <c r="F35"/>
  <c r="F21"/>
  <c r="C21" s="1"/>
  <c r="F20"/>
  <c r="E10"/>
  <c r="E9"/>
  <c r="F7"/>
  <c r="W21" i="21"/>
  <c r="AC21"/>
  <c r="Q72" i="67"/>
  <c r="Q59"/>
  <c r="Q58"/>
  <c r="Q51"/>
  <c r="J50"/>
  <c r="M47"/>
  <c r="J53" s="1"/>
  <c r="D46"/>
  <c r="F33"/>
  <c r="F61" s="1"/>
  <c r="F23"/>
  <c r="F21"/>
  <c r="F20"/>
  <c r="M19"/>
  <c r="F18"/>
  <c r="F17"/>
  <c r="F15"/>
  <c r="D22"/>
  <c r="S2" i="4"/>
  <c r="C51" i="10" s="1"/>
  <c r="A13" i="51" s="1"/>
  <c r="B11" i="72" s="1"/>
  <c r="S1" i="4"/>
  <c r="A4" i="51" s="1"/>
  <c r="B6" i="72" s="1"/>
  <c r="B1" i="4"/>
  <c r="B37" i="48" s="1"/>
  <c r="B2" i="72" s="1"/>
  <c r="C31" i="66"/>
  <c r="C27"/>
  <c r="C32"/>
  <c r="I23"/>
  <c r="D20"/>
  <c r="I19"/>
  <c r="I18"/>
  <c r="I17"/>
  <c r="I20"/>
  <c r="E15"/>
  <c r="I14"/>
  <c r="I13"/>
  <c r="I12"/>
  <c r="I15" s="1"/>
  <c r="I9"/>
  <c r="I8"/>
  <c r="I7"/>
  <c r="I6"/>
  <c r="I5"/>
  <c r="I4"/>
  <c r="I3"/>
  <c r="I10" s="1"/>
  <c r="I21" s="1"/>
  <c r="D1" i="43"/>
  <c r="F113"/>
  <c r="N99"/>
  <c r="N108" s="1"/>
  <c r="D99"/>
  <c r="D108" s="1"/>
  <c r="E99"/>
  <c r="E108" s="1"/>
  <c r="F99"/>
  <c r="F108" s="1"/>
  <c r="G99"/>
  <c r="G108" s="1"/>
  <c r="H99"/>
  <c r="H108" s="1"/>
  <c r="I99"/>
  <c r="I108" s="1"/>
  <c r="J99"/>
  <c r="J108" s="1"/>
  <c r="K99"/>
  <c r="K108" s="1"/>
  <c r="L99"/>
  <c r="L108" s="1"/>
  <c r="M99"/>
  <c r="M108" s="1"/>
  <c r="C99"/>
  <c r="C108" s="1"/>
  <c r="N100"/>
  <c r="D100"/>
  <c r="L100"/>
  <c r="G100"/>
  <c r="K100"/>
  <c r="B48"/>
  <c r="B84"/>
  <c r="B83"/>
  <c r="B72"/>
  <c r="B61"/>
  <c r="B50"/>
  <c r="D82"/>
  <c r="D83"/>
  <c r="D84"/>
  <c r="D85"/>
  <c r="D86"/>
  <c r="D87"/>
  <c r="D88"/>
  <c r="D81"/>
  <c r="D67"/>
  <c r="D60"/>
  <c r="D61"/>
  <c r="D62"/>
  <c r="D63"/>
  <c r="D64"/>
  <c r="D65"/>
  <c r="D66"/>
  <c r="D59"/>
  <c r="E59" s="1"/>
  <c r="B57" s="1"/>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s="1"/>
  <c r="K77"/>
  <c r="J77" s="1"/>
  <c r="D77"/>
  <c r="M76"/>
  <c r="N76"/>
  <c r="K76"/>
  <c r="J76"/>
  <c r="D76"/>
  <c r="M75"/>
  <c r="N75" s="1"/>
  <c r="K75"/>
  <c r="J75" s="1"/>
  <c r="D75"/>
  <c r="M74"/>
  <c r="N74"/>
  <c r="K74"/>
  <c r="J74"/>
  <c r="D74"/>
  <c r="M73"/>
  <c r="N73" s="1"/>
  <c r="K73"/>
  <c r="J73" s="1"/>
  <c r="D73"/>
  <c r="M72"/>
  <c r="N72"/>
  <c r="K72"/>
  <c r="J72"/>
  <c r="D72"/>
  <c r="M71"/>
  <c r="N71" s="1"/>
  <c r="K71"/>
  <c r="J71" s="1"/>
  <c r="D71"/>
  <c r="M70"/>
  <c r="N70"/>
  <c r="K70"/>
  <c r="J70"/>
  <c r="D70"/>
  <c r="M67"/>
  <c r="N67" s="1"/>
  <c r="K67"/>
  <c r="J67" s="1"/>
  <c r="M66"/>
  <c r="N66" s="1"/>
  <c r="K66"/>
  <c r="J66" s="1"/>
  <c r="M65"/>
  <c r="N65" s="1"/>
  <c r="K65"/>
  <c r="J65" s="1"/>
  <c r="M64"/>
  <c r="N64" s="1"/>
  <c r="K64"/>
  <c r="J64" s="1"/>
  <c r="M63"/>
  <c r="N63" s="1"/>
  <c r="K63"/>
  <c r="J63" s="1"/>
  <c r="M62"/>
  <c r="N62" s="1"/>
  <c r="K62"/>
  <c r="J62" s="1"/>
  <c r="M61"/>
  <c r="N61" s="1"/>
  <c r="K61"/>
  <c r="J61" s="1"/>
  <c r="M60"/>
  <c r="N60" s="1"/>
  <c r="K60"/>
  <c r="J60" s="1"/>
  <c r="M59"/>
  <c r="N59" s="1"/>
  <c r="K59"/>
  <c r="J59" s="1"/>
  <c r="M56"/>
  <c r="N56" s="1"/>
  <c r="K56"/>
  <c r="J56" s="1"/>
  <c r="D56"/>
  <c r="M55"/>
  <c r="N55"/>
  <c r="K55"/>
  <c r="J55"/>
  <c r="D55"/>
  <c r="M54"/>
  <c r="N54" s="1"/>
  <c r="K54"/>
  <c r="J54" s="1"/>
  <c r="D54"/>
  <c r="M53"/>
  <c r="N53"/>
  <c r="K53"/>
  <c r="J53"/>
  <c r="D53"/>
  <c r="M52"/>
  <c r="N52" s="1"/>
  <c r="K52"/>
  <c r="J52" s="1"/>
  <c r="D52"/>
  <c r="M51"/>
  <c r="N51"/>
  <c r="K51"/>
  <c r="J51"/>
  <c r="D51"/>
  <c r="M50"/>
  <c r="N50" s="1"/>
  <c r="K50"/>
  <c r="J50" s="1"/>
  <c r="D50"/>
  <c r="M49"/>
  <c r="N49"/>
  <c r="K49"/>
  <c r="J49"/>
  <c r="D49"/>
  <c r="M48"/>
  <c r="N48" s="1"/>
  <c r="K48"/>
  <c r="J48" s="1"/>
  <c r="D48"/>
  <c r="Q72" i="15"/>
  <c r="Q58"/>
  <c r="Q51"/>
  <c r="Q59"/>
  <c r="AE10" i="1"/>
  <c r="AE11"/>
  <c r="AE12"/>
  <c r="AE13"/>
  <c r="M47" i="15"/>
  <c r="AG7" i="1"/>
  <c r="AG8"/>
  <c r="AG9"/>
  <c r="AG10"/>
  <c r="AG11"/>
  <c r="AG12"/>
  <c r="AG13"/>
  <c r="J50" i="15"/>
  <c r="J51" s="1"/>
  <c r="D12" i="31"/>
  <c r="E12"/>
  <c r="F12" s="1"/>
  <c r="G12" s="1"/>
  <c r="H12" s="1"/>
  <c r="I12" s="1"/>
  <c r="J12" s="1"/>
  <c r="K12" s="1"/>
  <c r="L12" s="1"/>
  <c r="M12" s="1"/>
  <c r="N12" s="1"/>
  <c r="O12" s="1"/>
  <c r="P12" s="1"/>
  <c r="Q12" s="1"/>
  <c r="R12" s="1"/>
  <c r="S12" s="1"/>
  <c r="D10"/>
  <c r="E10"/>
  <c r="F10" s="1"/>
  <c r="G10" s="1"/>
  <c r="H10" s="1"/>
  <c r="I10" s="1"/>
  <c r="J10" s="1"/>
  <c r="K10" s="1"/>
  <c r="L10" s="1"/>
  <c r="M10" s="1"/>
  <c r="N10" s="1"/>
  <c r="O10" s="1"/>
  <c r="P10" s="1"/>
  <c r="Q10" s="1"/>
  <c r="R10" s="1"/>
  <c r="S10" s="1"/>
  <c r="D8"/>
  <c r="E8"/>
  <c r="F8" s="1"/>
  <c r="G8" s="1"/>
  <c r="H8" s="1"/>
  <c r="I8" s="1"/>
  <c r="J8" s="1"/>
  <c r="K8" s="1"/>
  <c r="L8" s="1"/>
  <c r="M8" s="1"/>
  <c r="N8" s="1"/>
  <c r="O8" s="1"/>
  <c r="P8" s="1"/>
  <c r="Q8" s="1"/>
  <c r="R8" s="1"/>
  <c r="S8" s="1"/>
  <c r="D6"/>
  <c r="E6"/>
  <c r="F6" s="1"/>
  <c r="G6" s="1"/>
  <c r="H6" s="1"/>
  <c r="I6" s="1"/>
  <c r="J6" s="1"/>
  <c r="K6" s="1"/>
  <c r="L6" s="1"/>
  <c r="M6" s="1"/>
  <c r="N6" s="1"/>
  <c r="O6" s="1"/>
  <c r="P6" s="1"/>
  <c r="Q6" s="1"/>
  <c r="R6" s="1"/>
  <c r="S6" s="1"/>
  <c r="B2" i="1"/>
  <c r="F15" i="4"/>
  <c r="F8" i="1"/>
  <c r="F9"/>
  <c r="F10"/>
  <c r="F11"/>
  <c r="F12"/>
  <c r="F13"/>
  <c r="D6"/>
  <c r="D9"/>
  <c r="D10"/>
  <c r="D11"/>
  <c r="D12"/>
  <c r="D13"/>
  <c r="D7"/>
  <c r="D8"/>
  <c r="A7"/>
  <c r="A8"/>
  <c r="B8" s="1"/>
  <c r="E8" s="1"/>
  <c r="A9"/>
  <c r="A10"/>
  <c r="A11"/>
  <c r="A12"/>
  <c r="A13"/>
  <c r="A6"/>
  <c r="F3" i="35" s="1"/>
  <c r="B11" i="1"/>
  <c r="E11" s="1"/>
  <c r="B7"/>
  <c r="E7" s="1"/>
  <c r="K10"/>
  <c r="B13"/>
  <c r="E13"/>
  <c r="K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s="1"/>
  <c r="AX112"/>
  <c r="AW112"/>
  <c r="AV112"/>
  <c r="AC112"/>
  <c r="H112"/>
  <c r="G112"/>
  <c r="BT111"/>
  <c r="BS111"/>
  <c r="BR111"/>
  <c r="BQ111"/>
  <c r="BP111"/>
  <c r="BO111"/>
  <c r="BN111"/>
  <c r="BM111"/>
  <c r="BL111" s="1"/>
  <c r="BK111"/>
  <c r="BJ111"/>
  <c r="BI111"/>
  <c r="BH111"/>
  <c r="BG111"/>
  <c r="BF111"/>
  <c r="BE111"/>
  <c r="BD111"/>
  <c r="BC111"/>
  <c r="BB111"/>
  <c r="BA11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c r="BT109"/>
  <c r="BS109"/>
  <c r="BR109"/>
  <c r="BQ109"/>
  <c r="BP109"/>
  <c r="BO109"/>
  <c r="BN109"/>
  <c r="BM109"/>
  <c r="BL109" s="1"/>
  <c r="BK109"/>
  <c r="BJ109"/>
  <c r="BI109"/>
  <c r="BH109"/>
  <c r="BG109"/>
  <c r="BF109"/>
  <c r="BE109"/>
  <c r="BD109"/>
  <c r="BC109"/>
  <c r="BB109"/>
  <c r="BA109"/>
  <c r="AX109"/>
  <c r="AW109"/>
  <c r="AV109"/>
  <c r="AC109"/>
  <c r="H109"/>
  <c r="G109"/>
  <c r="BT108"/>
  <c r="BS108"/>
  <c r="BR108"/>
  <c r="BQ108"/>
  <c r="BP108"/>
  <c r="BO108"/>
  <c r="BN108"/>
  <c r="BM108"/>
  <c r="BL108" s="1"/>
  <c r="BK108"/>
  <c r="BJ108"/>
  <c r="BI108"/>
  <c r="BH108"/>
  <c r="BG108"/>
  <c r="BF108"/>
  <c r="BE108"/>
  <c r="BD108"/>
  <c r="BC108"/>
  <c r="BB108"/>
  <c r="BA108"/>
  <c r="AZ108" s="1"/>
  <c r="AX108"/>
  <c r="AW108"/>
  <c r="AV108"/>
  <c r="AC108"/>
  <c r="H108"/>
  <c r="G108" s="1"/>
  <c r="BT107"/>
  <c r="BS107"/>
  <c r="BR107"/>
  <c r="BQ107"/>
  <c r="BP107"/>
  <c r="BO107"/>
  <c r="BN107"/>
  <c r="BM107"/>
  <c r="BL107"/>
  <c r="BK107"/>
  <c r="BJ107"/>
  <c r="BI107"/>
  <c r="BH107"/>
  <c r="BG107"/>
  <c r="BF107"/>
  <c r="BE107"/>
  <c r="BD107"/>
  <c r="BC107"/>
  <c r="BB107"/>
  <c r="BA107" s="1"/>
  <c r="AX107"/>
  <c r="AW107"/>
  <c r="AV107"/>
  <c r="AC107"/>
  <c r="H107"/>
  <c r="G107" s="1"/>
  <c r="BT106"/>
  <c r="BS106"/>
  <c r="BR106"/>
  <c r="BQ106"/>
  <c r="BP106"/>
  <c r="BO106"/>
  <c r="BN106"/>
  <c r="BM106"/>
  <c r="BL106"/>
  <c r="BK106"/>
  <c r="BJ106"/>
  <c r="BI106"/>
  <c r="BH106"/>
  <c r="BG106"/>
  <c r="BF106"/>
  <c r="BE106"/>
  <c r="BD106"/>
  <c r="BC106"/>
  <c r="BB106"/>
  <c r="BA106" s="1"/>
  <c r="AZ106" s="1"/>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c r="AX100"/>
  <c r="AW100"/>
  <c r="AV100"/>
  <c r="AC100"/>
  <c r="H100"/>
  <c r="G100" s="1"/>
  <c r="BT99"/>
  <c r="BS99"/>
  <c r="BR99"/>
  <c r="BQ99"/>
  <c r="BP99"/>
  <c r="BO99"/>
  <c r="BN99"/>
  <c r="BM99"/>
  <c r="BL99"/>
  <c r="BK99"/>
  <c r="BJ99"/>
  <c r="BI99"/>
  <c r="BH99"/>
  <c r="BG99"/>
  <c r="BF99"/>
  <c r="BE99"/>
  <c r="BD99"/>
  <c r="BC99"/>
  <c r="BB99"/>
  <c r="BA99" s="1"/>
  <c r="AZ99" s="1"/>
  <c r="AX99"/>
  <c r="AW99"/>
  <c r="AV99"/>
  <c r="AC99"/>
  <c r="H99"/>
  <c r="G99"/>
  <c r="BT98"/>
  <c r="BS98"/>
  <c r="BR98"/>
  <c r="BQ98"/>
  <c r="BP98"/>
  <c r="BO98"/>
  <c r="BN98"/>
  <c r="BM98"/>
  <c r="BL98" s="1"/>
  <c r="BK98"/>
  <c r="BJ98"/>
  <c r="BI98"/>
  <c r="BH98"/>
  <c r="BG98"/>
  <c r="BF98"/>
  <c r="BE98"/>
  <c r="BD98"/>
  <c r="BC98"/>
  <c r="BB98"/>
  <c r="BA98"/>
  <c r="AZ98" s="1"/>
  <c r="AX98"/>
  <c r="AW98"/>
  <c r="AV98"/>
  <c r="AC98"/>
  <c r="H98"/>
  <c r="G98" s="1"/>
  <c r="BT97"/>
  <c r="BS97"/>
  <c r="BR97"/>
  <c r="BQ97"/>
  <c r="BP97"/>
  <c r="BO97"/>
  <c r="BN97"/>
  <c r="BM97"/>
  <c r="BL97"/>
  <c r="BK97"/>
  <c r="BJ97"/>
  <c r="BI97"/>
  <c r="BH97"/>
  <c r="BG97"/>
  <c r="BF97"/>
  <c r="BE97"/>
  <c r="BD97"/>
  <c r="BC97"/>
  <c r="BB97"/>
  <c r="BA97" s="1"/>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Z91" s="1"/>
  <c r="AX91"/>
  <c r="AW91"/>
  <c r="AV91"/>
  <c r="AC91"/>
  <c r="H91"/>
  <c r="G91" s="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c r="AX89"/>
  <c r="AW89"/>
  <c r="AV89"/>
  <c r="AC89"/>
  <c r="H89"/>
  <c r="G89"/>
  <c r="BT88"/>
  <c r="BS88"/>
  <c r="BR88"/>
  <c r="BQ88"/>
  <c r="BP88"/>
  <c r="BO88"/>
  <c r="BN88"/>
  <c r="BM88"/>
  <c r="BL88" s="1"/>
  <c r="BK88"/>
  <c r="BJ88"/>
  <c r="BI88"/>
  <c r="BH88"/>
  <c r="BG88"/>
  <c r="BF88"/>
  <c r="BE88"/>
  <c r="BD88"/>
  <c r="BC88"/>
  <c r="BB88"/>
  <c r="BA88"/>
  <c r="AX88"/>
  <c r="AW88"/>
  <c r="AV88"/>
  <c r="AC88"/>
  <c r="H88"/>
  <c r="G88"/>
  <c r="BT87"/>
  <c r="BS87"/>
  <c r="BR87"/>
  <c r="BQ87"/>
  <c r="BP87"/>
  <c r="BO87"/>
  <c r="BN87"/>
  <c r="BM87"/>
  <c r="BL87" s="1"/>
  <c r="BK87"/>
  <c r="BJ87"/>
  <c r="BI87"/>
  <c r="BH87"/>
  <c r="BG87"/>
  <c r="BF87"/>
  <c r="BE87"/>
  <c r="BD87"/>
  <c r="BC87"/>
  <c r="BB87"/>
  <c r="BA87"/>
  <c r="AX87"/>
  <c r="AW87"/>
  <c r="AV87"/>
  <c r="AC87"/>
  <c r="H87"/>
  <c r="G87" s="1"/>
  <c r="BT86"/>
  <c r="BS86"/>
  <c r="BR86"/>
  <c r="BQ86"/>
  <c r="BP86"/>
  <c r="BO86"/>
  <c r="BN86"/>
  <c r="BM86"/>
  <c r="BL86"/>
  <c r="BK86"/>
  <c r="BJ86"/>
  <c r="BI86"/>
  <c r="BH86"/>
  <c r="BG86"/>
  <c r="BF86"/>
  <c r="BE86"/>
  <c r="BD86"/>
  <c r="BC86"/>
  <c r="BB86"/>
  <c r="BA86" s="1"/>
  <c r="AX86"/>
  <c r="AW86"/>
  <c r="AV86"/>
  <c r="AC86"/>
  <c r="H86"/>
  <c r="G86" s="1"/>
  <c r="BT85"/>
  <c r="BS85"/>
  <c r="BR85"/>
  <c r="BQ85"/>
  <c r="BP85"/>
  <c r="BO85"/>
  <c r="BN85"/>
  <c r="BM85"/>
  <c r="BL85"/>
  <c r="BK85"/>
  <c r="BJ85"/>
  <c r="BI85"/>
  <c r="BH85"/>
  <c r="BG85"/>
  <c r="BF85"/>
  <c r="BE85"/>
  <c r="BD85"/>
  <c r="BC85"/>
  <c r="BB85"/>
  <c r="BA85" s="1"/>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c r="BK83"/>
  <c r="BJ83"/>
  <c r="BI83"/>
  <c r="BH83"/>
  <c r="BG83"/>
  <c r="BF83"/>
  <c r="BE83"/>
  <c r="BD83"/>
  <c r="BC83"/>
  <c r="BB83"/>
  <c r="BA83" s="1"/>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s="1"/>
  <c r="AX81"/>
  <c r="AW81"/>
  <c r="AV81"/>
  <c r="AC81"/>
  <c r="H81"/>
  <c r="G81"/>
  <c r="BT80"/>
  <c r="BS80"/>
  <c r="BR80"/>
  <c r="BQ80"/>
  <c r="BP80"/>
  <c r="BO80"/>
  <c r="BN80"/>
  <c r="BM80"/>
  <c r="BL80" s="1"/>
  <c r="BK80"/>
  <c r="BJ80"/>
  <c r="BI80"/>
  <c r="BH80"/>
  <c r="BG80"/>
  <c r="BF80"/>
  <c r="BE80"/>
  <c r="BD80"/>
  <c r="BC80"/>
  <c r="BB80"/>
  <c r="BA80"/>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Z78" s="1"/>
  <c r="AX78"/>
  <c r="AW78"/>
  <c r="AV78"/>
  <c r="AC78"/>
  <c r="H78"/>
  <c r="G78" s="1"/>
  <c r="BT77"/>
  <c r="BS77"/>
  <c r="BR77"/>
  <c r="BQ77"/>
  <c r="BP77"/>
  <c r="BO77"/>
  <c r="BN77"/>
  <c r="BM77"/>
  <c r="BL77"/>
  <c r="BK77"/>
  <c r="BJ77"/>
  <c r="BI77"/>
  <c r="BH77"/>
  <c r="BG77"/>
  <c r="BF77"/>
  <c r="BE77"/>
  <c r="BD77"/>
  <c r="BC77"/>
  <c r="BB77"/>
  <c r="BA77" s="1"/>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X73"/>
  <c r="AW73"/>
  <c r="AV73"/>
  <c r="AC73"/>
  <c r="H73"/>
  <c r="G73" s="1"/>
  <c r="BT72"/>
  <c r="BS72"/>
  <c r="BR72"/>
  <c r="BQ72"/>
  <c r="BP72"/>
  <c r="BO72"/>
  <c r="BN72"/>
  <c r="BM72"/>
  <c r="BL72"/>
  <c r="BK72"/>
  <c r="BJ72"/>
  <c r="BI72"/>
  <c r="BH72"/>
  <c r="BG72"/>
  <c r="BF72"/>
  <c r="BE72"/>
  <c r="BD72"/>
  <c r="BC72"/>
  <c r="BB72"/>
  <c r="BA72" s="1"/>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Z70"/>
  <c r="AX70"/>
  <c r="AW70"/>
  <c r="AV70"/>
  <c r="AC70"/>
  <c r="H70"/>
  <c r="G70"/>
  <c r="BT69"/>
  <c r="BS69"/>
  <c r="BR69"/>
  <c r="BQ69"/>
  <c r="BP69"/>
  <c r="BO69"/>
  <c r="BN69"/>
  <c r="BM69"/>
  <c r="BL69" s="1"/>
  <c r="BK69"/>
  <c r="BJ69"/>
  <c r="BI69"/>
  <c r="BH69"/>
  <c r="BG69"/>
  <c r="BF69"/>
  <c r="BE69"/>
  <c r="BD69"/>
  <c r="BC69"/>
  <c r="BB69"/>
  <c r="BA69"/>
  <c r="AX69"/>
  <c r="AW69"/>
  <c r="AV69"/>
  <c r="AC69"/>
  <c r="H69"/>
  <c r="G69"/>
  <c r="BT68"/>
  <c r="BS68"/>
  <c r="BR68"/>
  <c r="BQ68"/>
  <c r="BP68"/>
  <c r="BO68"/>
  <c r="BN68"/>
  <c r="BM68"/>
  <c r="BL68" s="1"/>
  <c r="BK68"/>
  <c r="BJ68"/>
  <c r="BI68"/>
  <c r="BH68"/>
  <c r="BG68"/>
  <c r="BF68"/>
  <c r="BE68"/>
  <c r="BD68"/>
  <c r="BC68"/>
  <c r="BB68"/>
  <c r="BA68"/>
  <c r="AZ68" s="1"/>
  <c r="AX68"/>
  <c r="AW68"/>
  <c r="AV68"/>
  <c r="AC68"/>
  <c r="H68"/>
  <c r="G68" s="1"/>
  <c r="BT67"/>
  <c r="BS67"/>
  <c r="BR67"/>
  <c r="BQ67"/>
  <c r="BP67"/>
  <c r="BO67"/>
  <c r="BN67"/>
  <c r="BM67"/>
  <c r="BL67"/>
  <c r="BK67"/>
  <c r="BJ67"/>
  <c r="BI67"/>
  <c r="BH67"/>
  <c r="BG67"/>
  <c r="BF67"/>
  <c r="BE67"/>
  <c r="BD67"/>
  <c r="BC67"/>
  <c r="BB67"/>
  <c r="BA67" s="1"/>
  <c r="AX67"/>
  <c r="AW67"/>
  <c r="AV67"/>
  <c r="AC67"/>
  <c r="H67"/>
  <c r="G67" s="1"/>
  <c r="BT66"/>
  <c r="BS66"/>
  <c r="BR66"/>
  <c r="BQ66"/>
  <c r="BP66"/>
  <c r="BO66"/>
  <c r="BN66"/>
  <c r="BM66"/>
  <c r="BL66"/>
  <c r="BK66"/>
  <c r="BJ66"/>
  <c r="BI66"/>
  <c r="BH66"/>
  <c r="BG66"/>
  <c r="BF66"/>
  <c r="BE66"/>
  <c r="BD66"/>
  <c r="BC66"/>
  <c r="BB66"/>
  <c r="BA66" s="1"/>
  <c r="AX66"/>
  <c r="AW66"/>
  <c r="AV66"/>
  <c r="AC66"/>
  <c r="H66"/>
  <c r="G66" s="1"/>
  <c r="BT65"/>
  <c r="BS65"/>
  <c r="BR65"/>
  <c r="BQ65"/>
  <c r="BP65"/>
  <c r="BO65"/>
  <c r="BN65"/>
  <c r="BM65"/>
  <c r="BL65"/>
  <c r="BK65"/>
  <c r="BJ65"/>
  <c r="BI65"/>
  <c r="BH65"/>
  <c r="BG65"/>
  <c r="BF65"/>
  <c r="BE65"/>
  <c r="BD65"/>
  <c r="BC65"/>
  <c r="BB65"/>
  <c r="BA65" s="1"/>
  <c r="AZ65" s="1"/>
  <c r="AX65"/>
  <c r="AW65"/>
  <c r="AV65"/>
  <c r="AC65"/>
  <c r="H65"/>
  <c r="G65"/>
  <c r="BT64"/>
  <c r="BS64"/>
  <c r="BR64"/>
  <c r="BQ64"/>
  <c r="BP64"/>
  <c r="BO64"/>
  <c r="BN64"/>
  <c r="BM64"/>
  <c r="BL64" s="1"/>
  <c r="BK64"/>
  <c r="BJ64"/>
  <c r="BI64"/>
  <c r="BH64"/>
  <c r="BG64"/>
  <c r="BF64"/>
  <c r="BE64"/>
  <c r="BD64"/>
  <c r="BC64"/>
  <c r="BB64"/>
  <c r="BA64"/>
  <c r="AZ64" s="1"/>
  <c r="AX64"/>
  <c r="AW64"/>
  <c r="AV64"/>
  <c r="AC64"/>
  <c r="H64"/>
  <c r="G64" s="1"/>
  <c r="BT63"/>
  <c r="BS63"/>
  <c r="BR63"/>
  <c r="BQ63"/>
  <c r="BP63"/>
  <c r="BO63"/>
  <c r="BN63"/>
  <c r="BM63"/>
  <c r="BL63"/>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c r="AX61"/>
  <c r="AW61"/>
  <c r="AV61"/>
  <c r="AC61"/>
  <c r="H61"/>
  <c r="G61"/>
  <c r="BT60"/>
  <c r="BS60"/>
  <c r="BR60"/>
  <c r="BQ60"/>
  <c r="BP60"/>
  <c r="BO60"/>
  <c r="BN60"/>
  <c r="BM60"/>
  <c r="BL60" s="1"/>
  <c r="BK60"/>
  <c r="BJ60"/>
  <c r="BI60"/>
  <c r="BH60"/>
  <c r="BG60"/>
  <c r="BF60"/>
  <c r="BE60"/>
  <c r="BD60"/>
  <c r="BC60"/>
  <c r="BB60"/>
  <c r="BA60"/>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X58"/>
  <c r="AW58"/>
  <c r="AV58"/>
  <c r="AC58"/>
  <c r="H58"/>
  <c r="G58" s="1"/>
  <c r="BT57"/>
  <c r="BS57"/>
  <c r="BR57"/>
  <c r="BQ57"/>
  <c r="BP57"/>
  <c r="BO57"/>
  <c r="BN57"/>
  <c r="BM57"/>
  <c r="BL57"/>
  <c r="BK57"/>
  <c r="BJ57"/>
  <c r="BI57"/>
  <c r="BH57"/>
  <c r="BG57"/>
  <c r="BF57"/>
  <c r="BE57"/>
  <c r="BD57"/>
  <c r="BC57"/>
  <c r="BB57"/>
  <c r="BA57" s="1"/>
  <c r="AZ57"/>
  <c r="AX57"/>
  <c r="AW57"/>
  <c r="AV57"/>
  <c r="AC57"/>
  <c r="H57"/>
  <c r="G57"/>
  <c r="BT56"/>
  <c r="BS56"/>
  <c r="BR56"/>
  <c r="BQ56"/>
  <c r="BP56"/>
  <c r="BO56"/>
  <c r="BN56"/>
  <c r="BM56"/>
  <c r="BL56" s="1"/>
  <c r="BK56"/>
  <c r="BJ56"/>
  <c r="BI56"/>
  <c r="BH56"/>
  <c r="BG56"/>
  <c r="BF56"/>
  <c r="BE56"/>
  <c r="BD56"/>
  <c r="BC56"/>
  <c r="BB56"/>
  <c r="BA56"/>
  <c r="AX56"/>
  <c r="AW56"/>
  <c r="AV56"/>
  <c r="AC56"/>
  <c r="H56"/>
  <c r="G56" s="1"/>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Z54" s="1"/>
  <c r="AX54"/>
  <c r="AW54"/>
  <c r="AV54"/>
  <c r="AC54"/>
  <c r="H54"/>
  <c r="G54" s="1"/>
  <c r="BT53"/>
  <c r="BS53"/>
  <c r="BR53"/>
  <c r="BQ53"/>
  <c r="BP53"/>
  <c r="BO53"/>
  <c r="BN53"/>
  <c r="BM53"/>
  <c r="BL53"/>
  <c r="BK53"/>
  <c r="BJ53"/>
  <c r="BI53"/>
  <c r="BH53"/>
  <c r="BG53"/>
  <c r="BF53"/>
  <c r="BE53"/>
  <c r="BD53"/>
  <c r="BC53"/>
  <c r="BB53"/>
  <c r="BA53" s="1"/>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c r="AZ49" s="1"/>
  <c r="AX49"/>
  <c r="AW49"/>
  <c r="AV49"/>
  <c r="AC49"/>
  <c r="H49"/>
  <c r="G49" s="1"/>
  <c r="BT48"/>
  <c r="BS48"/>
  <c r="BR48"/>
  <c r="BQ48"/>
  <c r="BP48"/>
  <c r="BO48"/>
  <c r="BN48"/>
  <c r="BM48"/>
  <c r="BL48"/>
  <c r="BK48"/>
  <c r="BJ48"/>
  <c r="BI48"/>
  <c r="BH48"/>
  <c r="BG48"/>
  <c r="BF48"/>
  <c r="BE48"/>
  <c r="BD48"/>
  <c r="BC48"/>
  <c r="BB48"/>
  <c r="BA48" s="1"/>
  <c r="AZ48" s="1"/>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X46"/>
  <c r="AW46"/>
  <c r="AV46"/>
  <c r="AC46"/>
  <c r="H46"/>
  <c r="G46" s="1"/>
  <c r="BT45"/>
  <c r="BS45"/>
  <c r="BR45"/>
  <c r="BQ45"/>
  <c r="BP45"/>
  <c r="BO45"/>
  <c r="BN45"/>
  <c r="BM45"/>
  <c r="BL45"/>
  <c r="BK45"/>
  <c r="BJ45"/>
  <c r="BI45"/>
  <c r="BH45"/>
  <c r="BG45"/>
  <c r="BF45"/>
  <c r="BE45"/>
  <c r="BD45"/>
  <c r="BC45"/>
  <c r="BB45"/>
  <c r="BA45" s="1"/>
  <c r="AX45"/>
  <c r="AW45"/>
  <c r="AV45"/>
  <c r="AC45"/>
  <c r="H45"/>
  <c r="G45" s="1"/>
  <c r="BT44"/>
  <c r="BS44"/>
  <c r="BR44"/>
  <c r="BQ44"/>
  <c r="BP44"/>
  <c r="BO44"/>
  <c r="BN44"/>
  <c r="BM44"/>
  <c r="BL44"/>
  <c r="BK44"/>
  <c r="BJ44"/>
  <c r="BI44"/>
  <c r="BH44"/>
  <c r="BG44"/>
  <c r="BF44"/>
  <c r="BE44"/>
  <c r="BD44"/>
  <c r="BC44"/>
  <c r="BB44"/>
  <c r="BA44" s="1"/>
  <c r="AZ44"/>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G42"/>
  <c r="BT41"/>
  <c r="BS41"/>
  <c r="BR41"/>
  <c r="BQ41"/>
  <c r="BP41"/>
  <c r="BO41"/>
  <c r="BN41"/>
  <c r="BM41"/>
  <c r="BL41" s="1"/>
  <c r="BK41"/>
  <c r="BJ41"/>
  <c r="BI41"/>
  <c r="BH41"/>
  <c r="BG41"/>
  <c r="BF41"/>
  <c r="BE41"/>
  <c r="BD41"/>
  <c r="BC41"/>
  <c r="BB41"/>
  <c r="BA41"/>
  <c r="AX41"/>
  <c r="AW41"/>
  <c r="AV41"/>
  <c r="AC41"/>
  <c r="H41"/>
  <c r="G41"/>
  <c r="BT40"/>
  <c r="BS40"/>
  <c r="BR40"/>
  <c r="BQ40"/>
  <c r="BP40"/>
  <c r="BO40"/>
  <c r="BN40"/>
  <c r="BM40"/>
  <c r="BL40" s="1"/>
  <c r="BK40"/>
  <c r="BJ40"/>
  <c r="BI40"/>
  <c r="BH40"/>
  <c r="BG40"/>
  <c r="BF40"/>
  <c r="BE40"/>
  <c r="BD40"/>
  <c r="BC40"/>
  <c r="BB40"/>
  <c r="BA40"/>
  <c r="AZ40" s="1"/>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c r="AX37"/>
  <c r="AW37"/>
  <c r="AV37"/>
  <c r="AC37"/>
  <c r="H37"/>
  <c r="G37"/>
  <c r="BT36"/>
  <c r="BS36"/>
  <c r="BR36"/>
  <c r="BQ36"/>
  <c r="BP36"/>
  <c r="BO36"/>
  <c r="BN36"/>
  <c r="BM36"/>
  <c r="BL36" s="1"/>
  <c r="BK36"/>
  <c r="BJ36"/>
  <c r="BI36"/>
  <c r="BH36"/>
  <c r="BG36"/>
  <c r="BF36"/>
  <c r="BE36"/>
  <c r="BD36"/>
  <c r="BC36"/>
  <c r="BB36"/>
  <c r="BA36"/>
  <c r="AX36"/>
  <c r="AW36"/>
  <c r="AV36"/>
  <c r="AC36"/>
  <c r="H36"/>
  <c r="G36" s="1"/>
  <c r="BT35"/>
  <c r="BS35"/>
  <c r="BR35"/>
  <c r="BQ35"/>
  <c r="BP35"/>
  <c r="BO35"/>
  <c r="BN35"/>
  <c r="BM35"/>
  <c r="BL35"/>
  <c r="BK35"/>
  <c r="BJ35"/>
  <c r="BI35"/>
  <c r="BH35"/>
  <c r="BG35"/>
  <c r="BF35"/>
  <c r="BE35"/>
  <c r="BD35"/>
  <c r="BC35"/>
  <c r="BB35"/>
  <c r="BA35" s="1"/>
  <c r="AX35"/>
  <c r="AW35"/>
  <c r="AV35"/>
  <c r="AC35"/>
  <c r="H35"/>
  <c r="G35" s="1"/>
  <c r="BT34"/>
  <c r="BS34"/>
  <c r="BR34"/>
  <c r="BQ34"/>
  <c r="BP34"/>
  <c r="BO34"/>
  <c r="BN34"/>
  <c r="BM34"/>
  <c r="BL34"/>
  <c r="BK34"/>
  <c r="BJ34"/>
  <c r="BI34"/>
  <c r="BH34"/>
  <c r="BG34"/>
  <c r="BF34"/>
  <c r="BE34"/>
  <c r="BD34"/>
  <c r="BC34"/>
  <c r="BB34"/>
  <c r="BA34" s="1"/>
  <c r="AZ34"/>
  <c r="AX34"/>
  <c r="AW34"/>
  <c r="AV34"/>
  <c r="AC34"/>
  <c r="H34"/>
  <c r="G34"/>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X29"/>
  <c r="AW29"/>
  <c r="AV29"/>
  <c r="AC29"/>
  <c r="H29"/>
  <c r="G29" s="1"/>
  <c r="BT28"/>
  <c r="BS28"/>
  <c r="BR28"/>
  <c r="BQ28"/>
  <c r="BP28"/>
  <c r="BO28"/>
  <c r="BN28"/>
  <c r="BM28"/>
  <c r="BL28"/>
  <c r="BK28"/>
  <c r="BJ28"/>
  <c r="BI28"/>
  <c r="BH28"/>
  <c r="BG28"/>
  <c r="BF28"/>
  <c r="BE28"/>
  <c r="BD28"/>
  <c r="BC28"/>
  <c r="BB28"/>
  <c r="BA28" s="1"/>
  <c r="AX28"/>
  <c r="AW28"/>
  <c r="AV28"/>
  <c r="AC28"/>
  <c r="H28"/>
  <c r="G28" s="1"/>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c r="AX26"/>
  <c r="AW26"/>
  <c r="AV26"/>
  <c r="AC26"/>
  <c r="H26"/>
  <c r="G26"/>
  <c r="BT25"/>
  <c r="BS25"/>
  <c r="BR25"/>
  <c r="BQ25"/>
  <c r="BP25"/>
  <c r="BO25"/>
  <c r="BN25"/>
  <c r="BM25"/>
  <c r="BL25" s="1"/>
  <c r="BK25"/>
  <c r="BJ25"/>
  <c r="BI25"/>
  <c r="BH25"/>
  <c r="BG25"/>
  <c r="BF25"/>
  <c r="BE25"/>
  <c r="BD25"/>
  <c r="BC25"/>
  <c r="BB25"/>
  <c r="BA25"/>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Z23"/>
  <c r="AX23"/>
  <c r="AW23"/>
  <c r="AV23"/>
  <c r="AC23"/>
  <c r="H23"/>
  <c r="G23"/>
  <c r="BT22"/>
  <c r="BS22"/>
  <c r="BR22"/>
  <c r="BQ22"/>
  <c r="BP22"/>
  <c r="BO22"/>
  <c r="BN22"/>
  <c r="BM22"/>
  <c r="BL22" s="1"/>
  <c r="BK22"/>
  <c r="BJ22"/>
  <c r="BI22"/>
  <c r="BH22"/>
  <c r="BG22"/>
  <c r="BF22"/>
  <c r="BE22"/>
  <c r="BD22"/>
  <c r="BC22"/>
  <c r="BB22"/>
  <c r="BA22"/>
  <c r="AX22"/>
  <c r="AW22"/>
  <c r="AV22"/>
  <c r="AC22"/>
  <c r="H22"/>
  <c r="G22" s="1"/>
  <c r="BT21"/>
  <c r="BS21"/>
  <c r="BR21"/>
  <c r="BQ21"/>
  <c r="BP21"/>
  <c r="BO21"/>
  <c r="BN21"/>
  <c r="BM21"/>
  <c r="BL21"/>
  <c r="BK21"/>
  <c r="BJ21"/>
  <c r="BI21"/>
  <c r="BH21"/>
  <c r="BG21"/>
  <c r="BF21"/>
  <c r="BE21"/>
  <c r="BD21"/>
  <c r="BC21"/>
  <c r="BB21"/>
  <c r="BA21" s="1"/>
  <c r="AX21"/>
  <c r="AW21"/>
  <c r="AV21"/>
  <c r="AC21"/>
  <c r="H21"/>
  <c r="G21" s="1"/>
  <c r="BT20"/>
  <c r="BS20"/>
  <c r="BR20"/>
  <c r="BQ20"/>
  <c r="BP20"/>
  <c r="BO20"/>
  <c r="BN20"/>
  <c r="BM20"/>
  <c r="BL20"/>
  <c r="BK20"/>
  <c r="BJ20"/>
  <c r="BI20"/>
  <c r="BH20"/>
  <c r="BG20"/>
  <c r="BF20"/>
  <c r="BE20"/>
  <c r="BD20"/>
  <c r="BC20"/>
  <c r="BB20"/>
  <c r="BA20" s="1"/>
  <c r="AX20"/>
  <c r="AW20"/>
  <c r="AV20"/>
  <c r="AC20"/>
  <c r="H20"/>
  <c r="G20" s="1"/>
  <c r="BT19"/>
  <c r="BS19"/>
  <c r="BR19"/>
  <c r="BQ19"/>
  <c r="BP19"/>
  <c r="BO19"/>
  <c r="BN19"/>
  <c r="BM19"/>
  <c r="BL19"/>
  <c r="BK19"/>
  <c r="BJ19"/>
  <c r="BI19"/>
  <c r="BH19"/>
  <c r="BG19"/>
  <c r="BF19"/>
  <c r="BE19"/>
  <c r="BD19"/>
  <c r="BC19"/>
  <c r="BB19"/>
  <c r="BA19" s="1"/>
  <c r="AX19"/>
  <c r="AW19"/>
  <c r="AV19"/>
  <c r="AC19"/>
  <c r="H19"/>
  <c r="G19" s="1"/>
  <c r="BT18"/>
  <c r="BS18"/>
  <c r="BR18"/>
  <c r="BQ18"/>
  <c r="BP18"/>
  <c r="BO18"/>
  <c r="BN18"/>
  <c r="BM18"/>
  <c r="BL18"/>
  <c r="BK18"/>
  <c r="BJ18"/>
  <c r="BI18"/>
  <c r="BH18"/>
  <c r="BG18"/>
  <c r="BF18"/>
  <c r="BE18"/>
  <c r="BD18"/>
  <c r="BC18"/>
  <c r="BB18"/>
  <c r="BA18" s="1"/>
  <c r="AZ18"/>
  <c r="AX18"/>
  <c r="AW18"/>
  <c r="AV18"/>
  <c r="AC18"/>
  <c r="H18"/>
  <c r="G18"/>
  <c r="BT207"/>
  <c r="BS207"/>
  <c r="BR207"/>
  <c r="BQ207"/>
  <c r="BP207"/>
  <c r="BO207"/>
  <c r="BN207"/>
  <c r="BM207"/>
  <c r="BL207" s="1"/>
  <c r="BK207"/>
  <c r="BJ207"/>
  <c r="BI207"/>
  <c r="BH207"/>
  <c r="BG207"/>
  <c r="BF207"/>
  <c r="BE207"/>
  <c r="BD207"/>
  <c r="BC207"/>
  <c r="BB207"/>
  <c r="BA207"/>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c r="AZ201" s="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L194"/>
  <c r="BK194"/>
  <c r="BJ194"/>
  <c r="BI194"/>
  <c r="BH194"/>
  <c r="BG194"/>
  <c r="BF194"/>
  <c r="BE194"/>
  <c r="BD194"/>
  <c r="BC194"/>
  <c r="BB194"/>
  <c r="BA194" s="1"/>
  <c r="AX194"/>
  <c r="AW194"/>
  <c r="AV194"/>
  <c r="AC194"/>
  <c r="H194"/>
  <c r="G194" s="1"/>
  <c r="BT193"/>
  <c r="BS193"/>
  <c r="BR193"/>
  <c r="BQ193"/>
  <c r="BP193"/>
  <c r="BO193"/>
  <c r="BN193"/>
  <c r="BM193"/>
  <c r="BL193"/>
  <c r="BK193"/>
  <c r="BJ193"/>
  <c r="BI193"/>
  <c r="BH193"/>
  <c r="BG193"/>
  <c r="BF193"/>
  <c r="BE193"/>
  <c r="BD193"/>
  <c r="BC193"/>
  <c r="BB193"/>
  <c r="BA193" s="1"/>
  <c r="AZ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c r="BK190"/>
  <c r="BJ190"/>
  <c r="BI190"/>
  <c r="BH190"/>
  <c r="BG190"/>
  <c r="BF190"/>
  <c r="BE190"/>
  <c r="BD190"/>
  <c r="BC190"/>
  <c r="BB190"/>
  <c r="BA190" s="1"/>
  <c r="AX190"/>
  <c r="AW190"/>
  <c r="AV190"/>
  <c r="AC190"/>
  <c r="H190"/>
  <c r="G190" s="1"/>
  <c r="BT189"/>
  <c r="BS189"/>
  <c r="BR189"/>
  <c r="BQ189"/>
  <c r="BP189"/>
  <c r="BO189"/>
  <c r="BN189"/>
  <c r="BM189"/>
  <c r="BL189"/>
  <c r="BK189"/>
  <c r="BJ189"/>
  <c r="BI189"/>
  <c r="BH189"/>
  <c r="BG189"/>
  <c r="BF189"/>
  <c r="BE189"/>
  <c r="BD189"/>
  <c r="BC189"/>
  <c r="BB189"/>
  <c r="BA189" s="1"/>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s="1"/>
  <c r="BK179"/>
  <c r="BJ179"/>
  <c r="BI179"/>
  <c r="BH179"/>
  <c r="BG179"/>
  <c r="BF179"/>
  <c r="BE179"/>
  <c r="BD179"/>
  <c r="BC179"/>
  <c r="BB179"/>
  <c r="AX179"/>
  <c r="AW179"/>
  <c r="AV179"/>
  <c r="AC179"/>
  <c r="H179"/>
  <c r="G179" s="1"/>
  <c r="BT178"/>
  <c r="BS178"/>
  <c r="BR178"/>
  <c r="BQ178"/>
  <c r="BP178"/>
  <c r="BO178"/>
  <c r="BN178"/>
  <c r="BM178"/>
  <c r="BL178"/>
  <c r="BK178"/>
  <c r="BJ178"/>
  <c r="BI178"/>
  <c r="BH178"/>
  <c r="BG178"/>
  <c r="BF178"/>
  <c r="BE178"/>
  <c r="BD178"/>
  <c r="BC178"/>
  <c r="BB178"/>
  <c r="BA178" s="1"/>
  <c r="AX178"/>
  <c r="AW178"/>
  <c r="AV178"/>
  <c r="AC178"/>
  <c r="H178"/>
  <c r="G178" s="1"/>
  <c r="BT177"/>
  <c r="BS177"/>
  <c r="BR177"/>
  <c r="BQ177"/>
  <c r="BP177"/>
  <c r="BO177"/>
  <c r="BN177"/>
  <c r="BM177"/>
  <c r="BL177"/>
  <c r="BK177"/>
  <c r="BJ177"/>
  <c r="BI177"/>
  <c r="BH177"/>
  <c r="BG177"/>
  <c r="BF177"/>
  <c r="BE177"/>
  <c r="BD177"/>
  <c r="BC177"/>
  <c r="BB177"/>
  <c r="BA177" s="1"/>
  <c r="AZ177" s="1"/>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L174"/>
  <c r="BK174"/>
  <c r="BJ174"/>
  <c r="BI174"/>
  <c r="BH174"/>
  <c r="BG174"/>
  <c r="BF174"/>
  <c r="BE174"/>
  <c r="BD174"/>
  <c r="BC174"/>
  <c r="BB174"/>
  <c r="BA174" s="1"/>
  <c r="AX174"/>
  <c r="AW174"/>
  <c r="AV174"/>
  <c r="AC174"/>
  <c r="H174"/>
  <c r="G174" s="1"/>
  <c r="BT173"/>
  <c r="BS173"/>
  <c r="BR173"/>
  <c r="BQ173"/>
  <c r="BP173"/>
  <c r="BO173"/>
  <c r="BN173"/>
  <c r="BM173"/>
  <c r="BL173"/>
  <c r="BK173"/>
  <c r="BJ173"/>
  <c r="BI173"/>
  <c r="BH173"/>
  <c r="BG173"/>
  <c r="BF173"/>
  <c r="BE173"/>
  <c r="BD173"/>
  <c r="BC173"/>
  <c r="BB173"/>
  <c r="BA173" s="1"/>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c r="AZ169" s="1"/>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AX163"/>
  <c r="AW163"/>
  <c r="AV163"/>
  <c r="AC163"/>
  <c r="H163"/>
  <c r="G163" s="1"/>
  <c r="BT162"/>
  <c r="BS162"/>
  <c r="BR162"/>
  <c r="BQ162"/>
  <c r="BP162"/>
  <c r="BO162"/>
  <c r="BN162"/>
  <c r="BM162"/>
  <c r="BL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BA161" s="1"/>
  <c r="AZ16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L158"/>
  <c r="BK158"/>
  <c r="BJ158"/>
  <c r="BI158"/>
  <c r="BH158"/>
  <c r="BG158"/>
  <c r="BF158"/>
  <c r="BE158"/>
  <c r="BD158"/>
  <c r="BC158"/>
  <c r="BB158"/>
  <c r="BA158" s="1"/>
  <c r="AX158"/>
  <c r="AW158"/>
  <c r="AV158"/>
  <c r="AC158"/>
  <c r="H158"/>
  <c r="G158" s="1"/>
  <c r="BT157"/>
  <c r="BS157"/>
  <c r="BR157"/>
  <c r="BQ157"/>
  <c r="BP157"/>
  <c r="BO157"/>
  <c r="BN157"/>
  <c r="BM157"/>
  <c r="BL157"/>
  <c r="BK157"/>
  <c r="BJ157"/>
  <c r="BI157"/>
  <c r="BH157"/>
  <c r="BG157"/>
  <c r="BF157"/>
  <c r="BE157"/>
  <c r="BD157"/>
  <c r="BC157"/>
  <c r="BB157"/>
  <c r="BA157" s="1"/>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s="1"/>
  <c r="BK147"/>
  <c r="BJ147"/>
  <c r="BI147"/>
  <c r="BH147"/>
  <c r="BG147"/>
  <c r="BF147"/>
  <c r="BE147"/>
  <c r="BD147"/>
  <c r="BC147"/>
  <c r="BB147"/>
  <c r="AX147"/>
  <c r="AW147"/>
  <c r="AV147"/>
  <c r="AC147"/>
  <c r="H147"/>
  <c r="G147" s="1"/>
  <c r="BT146"/>
  <c r="BS146"/>
  <c r="BR146"/>
  <c r="BQ146"/>
  <c r="BP146"/>
  <c r="BO146"/>
  <c r="BN146"/>
  <c r="BM146"/>
  <c r="BL146"/>
  <c r="BK146"/>
  <c r="BJ146"/>
  <c r="BI146"/>
  <c r="BH146"/>
  <c r="BG146"/>
  <c r="BF146"/>
  <c r="BE146"/>
  <c r="BD146"/>
  <c r="BC146"/>
  <c r="BB146"/>
  <c r="BA146" s="1"/>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c r="BK142"/>
  <c r="BJ142"/>
  <c r="BI142"/>
  <c r="BH142"/>
  <c r="BG142"/>
  <c r="BF142"/>
  <c r="BE142"/>
  <c r="BD142"/>
  <c r="BC142"/>
  <c r="BB142"/>
  <c r="BA142" s="1"/>
  <c r="AX142"/>
  <c r="AW142"/>
  <c r="AV142"/>
  <c r="AC142"/>
  <c r="H142"/>
  <c r="G142" s="1"/>
  <c r="BT141"/>
  <c r="BS141"/>
  <c r="BR141"/>
  <c r="BQ141"/>
  <c r="BP141"/>
  <c r="BO141"/>
  <c r="BN141"/>
  <c r="BM141"/>
  <c r="BL141"/>
  <c r="BK141"/>
  <c r="BJ141"/>
  <c r="BI141"/>
  <c r="BH141"/>
  <c r="BG141"/>
  <c r="BF141"/>
  <c r="BE141"/>
  <c r="BD141"/>
  <c r="BC141"/>
  <c r="BB141"/>
  <c r="BA141" s="1"/>
  <c r="AZ14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G139" s="1"/>
  <c r="BT138"/>
  <c r="BS138"/>
  <c r="BR138"/>
  <c r="BQ138"/>
  <c r="BP138"/>
  <c r="BO138"/>
  <c r="BN138"/>
  <c r="BM138"/>
  <c r="BL138"/>
  <c r="BK138"/>
  <c r="BJ138"/>
  <c r="BI138"/>
  <c r="BH138"/>
  <c r="BG138"/>
  <c r="BF138"/>
  <c r="BE138"/>
  <c r="BD138"/>
  <c r="BC138"/>
  <c r="BB138"/>
  <c r="BA138" s="1"/>
  <c r="AX138"/>
  <c r="AW138"/>
  <c r="AV138"/>
  <c r="AC138"/>
  <c r="H138"/>
  <c r="G138" s="1"/>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c r="AZ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c r="AZ122" s="1"/>
  <c r="AX122"/>
  <c r="AW122"/>
  <c r="AV122"/>
  <c r="AC122"/>
  <c r="H122"/>
  <c r="G122" s="1"/>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L118"/>
  <c r="BK118"/>
  <c r="BJ118"/>
  <c r="BI118"/>
  <c r="BH118"/>
  <c r="BG118"/>
  <c r="BF118"/>
  <c r="BE118"/>
  <c r="BD118"/>
  <c r="BC118"/>
  <c r="BB118"/>
  <c r="BA118" s="1"/>
  <c r="AZ118"/>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M114"/>
  <c r="BL114"/>
  <c r="BK114"/>
  <c r="BJ114"/>
  <c r="BI114"/>
  <c r="BH114"/>
  <c r="BG114"/>
  <c r="BF114"/>
  <c r="BE114"/>
  <c r="BD114"/>
  <c r="BC114"/>
  <c r="BB114"/>
  <c r="BA114" s="1"/>
  <c r="AX114"/>
  <c r="AW114"/>
  <c r="AV114"/>
  <c r="AC114"/>
  <c r="H114"/>
  <c r="G114" s="1"/>
  <c r="BT113"/>
  <c r="BS113"/>
  <c r="BR113"/>
  <c r="BQ113"/>
  <c r="BP113"/>
  <c r="BO113"/>
  <c r="BN113"/>
  <c r="BM113"/>
  <c r="BL113"/>
  <c r="BK113"/>
  <c r="BJ113"/>
  <c r="BI113"/>
  <c r="BH113"/>
  <c r="BG113"/>
  <c r="BF113"/>
  <c r="BE113"/>
  <c r="BD113"/>
  <c r="BC113"/>
  <c r="BB113"/>
  <c r="BA113" s="1"/>
  <c r="AZ113"/>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c r="BT301"/>
  <c r="BS301"/>
  <c r="BR301"/>
  <c r="BQ301"/>
  <c r="BP301"/>
  <c r="BO301"/>
  <c r="BN301"/>
  <c r="BM301"/>
  <c r="BL301" s="1"/>
  <c r="BK301"/>
  <c r="BJ301"/>
  <c r="BI301"/>
  <c r="BH301"/>
  <c r="BG301"/>
  <c r="BF301"/>
  <c r="BE301"/>
  <c r="BD301"/>
  <c r="BC301"/>
  <c r="BB301"/>
  <c r="BA301"/>
  <c r="AZ301" s="1"/>
  <c r="AX301"/>
  <c r="AW301"/>
  <c r="AV301"/>
  <c r="AC301"/>
  <c r="H301"/>
  <c r="G301" s="1"/>
  <c r="BT300"/>
  <c r="BS300"/>
  <c r="BR300"/>
  <c r="BQ300"/>
  <c r="BP300"/>
  <c r="BO300"/>
  <c r="BN300"/>
  <c r="BM300"/>
  <c r="BL300"/>
  <c r="BK300"/>
  <c r="BJ300"/>
  <c r="BI300"/>
  <c r="BH300"/>
  <c r="BG300"/>
  <c r="BF300"/>
  <c r="BE300"/>
  <c r="BD300"/>
  <c r="BC300"/>
  <c r="BB300"/>
  <c r="BA300" s="1"/>
  <c r="AZ300" s="1"/>
  <c r="AX300"/>
  <c r="AW300"/>
  <c r="AV300"/>
  <c r="AC300"/>
  <c r="H300"/>
  <c r="G300"/>
  <c r="BT299"/>
  <c r="BS299"/>
  <c r="BR299"/>
  <c r="BQ299"/>
  <c r="BP299"/>
  <c r="BO299"/>
  <c r="BN299"/>
  <c r="BM299"/>
  <c r="BL299" s="1"/>
  <c r="BK299"/>
  <c r="BJ299"/>
  <c r="BI299"/>
  <c r="BH299"/>
  <c r="BG299"/>
  <c r="BF299"/>
  <c r="BE299"/>
  <c r="BD299"/>
  <c r="BC299"/>
  <c r="BB299"/>
  <c r="BA299"/>
  <c r="AX299"/>
  <c r="AW299"/>
  <c r="AV299"/>
  <c r="AC299"/>
  <c r="H299"/>
  <c r="G299"/>
  <c r="BT298"/>
  <c r="BS298"/>
  <c r="BR298"/>
  <c r="BQ298"/>
  <c r="BP298"/>
  <c r="BO298"/>
  <c r="BN298"/>
  <c r="BM298"/>
  <c r="BL298" s="1"/>
  <c r="BK298"/>
  <c r="BJ298"/>
  <c r="BI298"/>
  <c r="BH298"/>
  <c r="BG298"/>
  <c r="BF298"/>
  <c r="BE298"/>
  <c r="BD298"/>
  <c r="BC298"/>
  <c r="BB298"/>
  <c r="BA298"/>
  <c r="AX298"/>
  <c r="AW298"/>
  <c r="AV298"/>
  <c r="AC298"/>
  <c r="H298"/>
  <c r="G298" s="1"/>
  <c r="BT297"/>
  <c r="BS297"/>
  <c r="BR297"/>
  <c r="BQ297"/>
  <c r="BP297"/>
  <c r="BO297"/>
  <c r="BN297"/>
  <c r="BM297"/>
  <c r="BL297"/>
  <c r="BK297"/>
  <c r="BJ297"/>
  <c r="BI297"/>
  <c r="BH297"/>
  <c r="BG297"/>
  <c r="BF297"/>
  <c r="BE297"/>
  <c r="BD297"/>
  <c r="BC297"/>
  <c r="BB297"/>
  <c r="BA297" s="1"/>
  <c r="AX297"/>
  <c r="AW297"/>
  <c r="AV297"/>
  <c r="AC297"/>
  <c r="H297"/>
  <c r="G297" s="1"/>
  <c r="BT296"/>
  <c r="BS296"/>
  <c r="BR296"/>
  <c r="BQ296"/>
  <c r="BP296"/>
  <c r="BO296"/>
  <c r="BN296"/>
  <c r="BM296"/>
  <c r="BL296"/>
  <c r="BK296"/>
  <c r="BJ296"/>
  <c r="BI296"/>
  <c r="BH296"/>
  <c r="BG296"/>
  <c r="BF296"/>
  <c r="BE296"/>
  <c r="BD296"/>
  <c r="BC296"/>
  <c r="BB296"/>
  <c r="BA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c r="AX294"/>
  <c r="AW294"/>
  <c r="AV294"/>
  <c r="AC294"/>
  <c r="H294"/>
  <c r="G294"/>
  <c r="BT293"/>
  <c r="BS293"/>
  <c r="BR293"/>
  <c r="BQ293"/>
  <c r="BP293"/>
  <c r="BO293"/>
  <c r="BN293"/>
  <c r="BM293"/>
  <c r="BL293" s="1"/>
  <c r="BK293"/>
  <c r="BJ293"/>
  <c r="BI293"/>
  <c r="BH293"/>
  <c r="BG293"/>
  <c r="BF293"/>
  <c r="BE293"/>
  <c r="BD293"/>
  <c r="BC293"/>
  <c r="BB293"/>
  <c r="BA293"/>
  <c r="AX293"/>
  <c r="AW293"/>
  <c r="AV293"/>
  <c r="AC293"/>
  <c r="H293"/>
  <c r="G293" s="1"/>
  <c r="BT292"/>
  <c r="BS292"/>
  <c r="BR292"/>
  <c r="BQ292"/>
  <c r="BP292"/>
  <c r="BO292"/>
  <c r="BN292"/>
  <c r="BM292"/>
  <c r="BL292"/>
  <c r="BK292"/>
  <c r="BJ292"/>
  <c r="BI292"/>
  <c r="BH292"/>
  <c r="BG292"/>
  <c r="BF292"/>
  <c r="BE292"/>
  <c r="BD292"/>
  <c r="BC292"/>
  <c r="BB292"/>
  <c r="BA292" s="1"/>
  <c r="AZ292"/>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c r="AZ290" s="1"/>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c r="AX285"/>
  <c r="AW285"/>
  <c r="AV285"/>
  <c r="AC285"/>
  <c r="H285"/>
  <c r="G285" s="1"/>
  <c r="BT284"/>
  <c r="BS284"/>
  <c r="BR284"/>
  <c r="BQ284"/>
  <c r="BP284"/>
  <c r="BO284"/>
  <c r="BN284"/>
  <c r="BM284"/>
  <c r="BL284"/>
  <c r="BK284"/>
  <c r="BJ284"/>
  <c r="BI284"/>
  <c r="BH284"/>
  <c r="BG284"/>
  <c r="BF284"/>
  <c r="BE284"/>
  <c r="BD284"/>
  <c r="BC284"/>
  <c r="BB284"/>
  <c r="BA284" s="1"/>
  <c r="AZ284"/>
  <c r="AX284"/>
  <c r="AW284"/>
  <c r="AV284"/>
  <c r="AC284"/>
  <c r="H284"/>
  <c r="G284"/>
  <c r="BT283"/>
  <c r="BS283"/>
  <c r="BR283"/>
  <c r="BQ283"/>
  <c r="BP283"/>
  <c r="BO283"/>
  <c r="BN283"/>
  <c r="BM283"/>
  <c r="BL283" s="1"/>
  <c r="BK283"/>
  <c r="BJ283"/>
  <c r="BI283"/>
  <c r="BH283"/>
  <c r="BG283"/>
  <c r="BF283"/>
  <c r="BE283"/>
  <c r="BD283"/>
  <c r="BC283"/>
  <c r="BB283"/>
  <c r="BA283"/>
  <c r="AX283"/>
  <c r="AW283"/>
  <c r="AV283"/>
  <c r="AC283"/>
  <c r="H283"/>
  <c r="G283"/>
  <c r="BT282"/>
  <c r="BS282"/>
  <c r="BR282"/>
  <c r="BQ282"/>
  <c r="BP282"/>
  <c r="BO282"/>
  <c r="BN282"/>
  <c r="BM282"/>
  <c r="BL282" s="1"/>
  <c r="BK282"/>
  <c r="BJ282"/>
  <c r="BI282"/>
  <c r="BH282"/>
  <c r="BG282"/>
  <c r="BF282"/>
  <c r="BE282"/>
  <c r="BD282"/>
  <c r="BC282"/>
  <c r="BB282"/>
  <c r="BA282"/>
  <c r="AZ282" s="1"/>
  <c r="AX282"/>
  <c r="AW282"/>
  <c r="AV282"/>
  <c r="AC282"/>
  <c r="H282"/>
  <c r="G282" s="1"/>
  <c r="BT281"/>
  <c r="BS281"/>
  <c r="BR281"/>
  <c r="BQ281"/>
  <c r="BP281"/>
  <c r="BO281"/>
  <c r="BN281"/>
  <c r="BM281"/>
  <c r="BL281"/>
  <c r="BK281"/>
  <c r="BJ281"/>
  <c r="BI281"/>
  <c r="BH281"/>
  <c r="BG281"/>
  <c r="BF281"/>
  <c r="BE281"/>
  <c r="BD281"/>
  <c r="BC281"/>
  <c r="BB281"/>
  <c r="BA281" s="1"/>
  <c r="AX281"/>
  <c r="AW281"/>
  <c r="AV281"/>
  <c r="AC281"/>
  <c r="H281"/>
  <c r="G281" s="1"/>
  <c r="BT280"/>
  <c r="BS280"/>
  <c r="BR280"/>
  <c r="BQ280"/>
  <c r="BP280"/>
  <c r="BO280"/>
  <c r="BN280"/>
  <c r="BM280"/>
  <c r="BL280"/>
  <c r="BK280"/>
  <c r="BJ280"/>
  <c r="BI280"/>
  <c r="BH280"/>
  <c r="BG280"/>
  <c r="BF280"/>
  <c r="BE280"/>
  <c r="BD280"/>
  <c r="BC280"/>
  <c r="BB280"/>
  <c r="BA280" s="1"/>
  <c r="AX280"/>
  <c r="AW280"/>
  <c r="AV280"/>
  <c r="AC280"/>
  <c r="H280"/>
  <c r="G280" s="1"/>
  <c r="BT279"/>
  <c r="BS279"/>
  <c r="BR279"/>
  <c r="BQ279"/>
  <c r="BP279"/>
  <c r="BO279"/>
  <c r="BN279"/>
  <c r="BM279"/>
  <c r="BL279"/>
  <c r="BK279"/>
  <c r="BJ279"/>
  <c r="BI279"/>
  <c r="BH279"/>
  <c r="BG279"/>
  <c r="BF279"/>
  <c r="BE279"/>
  <c r="BD279"/>
  <c r="BC279"/>
  <c r="BB279"/>
  <c r="BA279" s="1"/>
  <c r="AX279"/>
  <c r="AW279"/>
  <c r="AV279"/>
  <c r="AC279"/>
  <c r="H279"/>
  <c r="G279" s="1"/>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c r="AZ270" s="1"/>
  <c r="AX270"/>
  <c r="AW270"/>
  <c r="AV270"/>
  <c r="AC270"/>
  <c r="H270"/>
  <c r="G270" s="1"/>
  <c r="BT269"/>
  <c r="BS269"/>
  <c r="BR269"/>
  <c r="BQ269"/>
  <c r="BP269"/>
  <c r="BO269"/>
  <c r="BN269"/>
  <c r="BM269"/>
  <c r="BL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c r="AZ264" s="1"/>
  <c r="AX264"/>
  <c r="AW264"/>
  <c r="AV264"/>
  <c r="AC264"/>
  <c r="H264"/>
  <c r="G264" s="1"/>
  <c r="BT263"/>
  <c r="BS263"/>
  <c r="BR263"/>
  <c r="BQ263"/>
  <c r="BP263"/>
  <c r="BO263"/>
  <c r="BN263"/>
  <c r="BM263"/>
  <c r="BL263"/>
  <c r="BK263"/>
  <c r="BJ263"/>
  <c r="BI263"/>
  <c r="BH263"/>
  <c r="BG263"/>
  <c r="BF263"/>
  <c r="BE263"/>
  <c r="BD263"/>
  <c r="BC263"/>
  <c r="BB263"/>
  <c r="BA263" s="1"/>
  <c r="AX263"/>
  <c r="AW263"/>
  <c r="AV263"/>
  <c r="AC263"/>
  <c r="H263"/>
  <c r="G263" s="1"/>
  <c r="BT262"/>
  <c r="BS262"/>
  <c r="BR262"/>
  <c r="BQ262"/>
  <c r="BP262"/>
  <c r="BO262"/>
  <c r="BN262"/>
  <c r="BM262"/>
  <c r="BL262"/>
  <c r="BK262"/>
  <c r="BJ262"/>
  <c r="BI262"/>
  <c r="BH262"/>
  <c r="BG262"/>
  <c r="BF262"/>
  <c r="BE262"/>
  <c r="BD262"/>
  <c r="BC262"/>
  <c r="BB262"/>
  <c r="BA262" s="1"/>
  <c r="AZ262" s="1"/>
  <c r="AX262"/>
  <c r="AW262"/>
  <c r="AV262"/>
  <c r="AC262"/>
  <c r="H262"/>
  <c r="G262"/>
  <c r="BT261"/>
  <c r="BS261"/>
  <c r="BR261"/>
  <c r="BQ261"/>
  <c r="BP261"/>
  <c r="BO261"/>
  <c r="BN261"/>
  <c r="BM261"/>
  <c r="BL261" s="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G260" s="1"/>
  <c r="BT259"/>
  <c r="BS259"/>
  <c r="BR259"/>
  <c r="BQ259"/>
  <c r="BP259"/>
  <c r="BO259"/>
  <c r="BN259"/>
  <c r="BM259"/>
  <c r="BL259"/>
  <c r="BK259"/>
  <c r="BJ259"/>
  <c r="BI259"/>
  <c r="BH259"/>
  <c r="BG259"/>
  <c r="BF259"/>
  <c r="BE259"/>
  <c r="BD259"/>
  <c r="BC259"/>
  <c r="BB259"/>
  <c r="BA259" s="1"/>
  <c r="AX259"/>
  <c r="AW259"/>
  <c r="AV259"/>
  <c r="AC259"/>
  <c r="H259"/>
  <c r="G259" s="1"/>
  <c r="BT258"/>
  <c r="BS258"/>
  <c r="BR258"/>
  <c r="BQ258"/>
  <c r="BP258"/>
  <c r="BO258"/>
  <c r="BN258"/>
  <c r="BM258"/>
  <c r="BL258"/>
  <c r="BK258"/>
  <c r="BJ258"/>
  <c r="BI258"/>
  <c r="BH258"/>
  <c r="BG258"/>
  <c r="BF258"/>
  <c r="BE258"/>
  <c r="BD258"/>
  <c r="BC258"/>
  <c r="BB258"/>
  <c r="BA258" s="1"/>
  <c r="AZ258"/>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s="1"/>
  <c r="BT254"/>
  <c r="BS254"/>
  <c r="BR254"/>
  <c r="BQ254"/>
  <c r="BP254"/>
  <c r="BO254"/>
  <c r="BN254"/>
  <c r="BM254"/>
  <c r="BL254"/>
  <c r="BK254"/>
  <c r="BJ254"/>
  <c r="BI254"/>
  <c r="BH254"/>
  <c r="BG254"/>
  <c r="BF254"/>
  <c r="BE254"/>
  <c r="BD254"/>
  <c r="BC254"/>
  <c r="BB254"/>
  <c r="BA254" s="1"/>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Z252"/>
  <c r="AX252"/>
  <c r="AW252"/>
  <c r="AV252"/>
  <c r="AC252"/>
  <c r="H252"/>
  <c r="G252"/>
  <c r="BT251"/>
  <c r="BS251"/>
  <c r="BR251"/>
  <c r="BQ251"/>
  <c r="BP251"/>
  <c r="BO251"/>
  <c r="BN251"/>
  <c r="BM251"/>
  <c r="BL251" s="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G249"/>
  <c r="BT248"/>
  <c r="BS248"/>
  <c r="BR248"/>
  <c r="BQ248"/>
  <c r="BP248"/>
  <c r="BO248"/>
  <c r="BN248"/>
  <c r="BM248"/>
  <c r="BL248" s="1"/>
  <c r="BK248"/>
  <c r="BJ248"/>
  <c r="BI248"/>
  <c r="BH248"/>
  <c r="BG248"/>
  <c r="BF248"/>
  <c r="BE248"/>
  <c r="BD248"/>
  <c r="BC248"/>
  <c r="BB248"/>
  <c r="BA248"/>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s="1"/>
  <c r="BT246"/>
  <c r="BS246"/>
  <c r="BR246"/>
  <c r="BQ246"/>
  <c r="BP246"/>
  <c r="BO246"/>
  <c r="BN246"/>
  <c r="BM246"/>
  <c r="BL246"/>
  <c r="BK246"/>
  <c r="BJ246"/>
  <c r="BI246"/>
  <c r="BH246"/>
  <c r="BG246"/>
  <c r="BF246"/>
  <c r="BE246"/>
  <c r="BD246"/>
  <c r="BC246"/>
  <c r="BB246"/>
  <c r="BA246" s="1"/>
  <c r="AZ246"/>
  <c r="AX246"/>
  <c r="AW246"/>
  <c r="AV246"/>
  <c r="AC246"/>
  <c r="H246"/>
  <c r="G246"/>
  <c r="BT245"/>
  <c r="BS245"/>
  <c r="BR245"/>
  <c r="BQ245"/>
  <c r="BP245"/>
  <c r="BO245"/>
  <c r="BN245"/>
  <c r="BM245"/>
  <c r="BL245" s="1"/>
  <c r="BK245"/>
  <c r="BJ245"/>
  <c r="BI245"/>
  <c r="BH245"/>
  <c r="BG245"/>
  <c r="BF245"/>
  <c r="BE245"/>
  <c r="BD245"/>
  <c r="BC245"/>
  <c r="BB245"/>
  <c r="BA245"/>
  <c r="AX245"/>
  <c r="AW245"/>
  <c r="AV245"/>
  <c r="AC245"/>
  <c r="H245"/>
  <c r="G245"/>
  <c r="BT244"/>
  <c r="BS244"/>
  <c r="BR244"/>
  <c r="BQ244"/>
  <c r="BP244"/>
  <c r="BO244"/>
  <c r="BN244"/>
  <c r="BM244"/>
  <c r="BL244" s="1"/>
  <c r="BK244"/>
  <c r="BJ244"/>
  <c r="BI244"/>
  <c r="BH244"/>
  <c r="BG244"/>
  <c r="BF244"/>
  <c r="BE244"/>
  <c r="BD244"/>
  <c r="BC244"/>
  <c r="BB244"/>
  <c r="BA244"/>
  <c r="AZ244" s="1"/>
  <c r="AX244"/>
  <c r="AW244"/>
  <c r="AV244"/>
  <c r="AC244"/>
  <c r="H244"/>
  <c r="G244" s="1"/>
  <c r="BT243"/>
  <c r="BS243"/>
  <c r="BR243"/>
  <c r="BQ243"/>
  <c r="BP243"/>
  <c r="BO243"/>
  <c r="BN243"/>
  <c r="BM243"/>
  <c r="BL243"/>
  <c r="BK243"/>
  <c r="BJ243"/>
  <c r="BI243"/>
  <c r="BH243"/>
  <c r="BG243"/>
  <c r="BF243"/>
  <c r="BE243"/>
  <c r="BD243"/>
  <c r="BC243"/>
  <c r="BB243"/>
  <c r="BA243" s="1"/>
  <c r="AX243"/>
  <c r="AW243"/>
  <c r="AV243"/>
  <c r="AC243"/>
  <c r="H243"/>
  <c r="G243" s="1"/>
  <c r="BT242"/>
  <c r="BS242"/>
  <c r="BR242"/>
  <c r="BQ242"/>
  <c r="BP242"/>
  <c r="BO242"/>
  <c r="BN242"/>
  <c r="BM242"/>
  <c r="BL242"/>
  <c r="BK242"/>
  <c r="BJ242"/>
  <c r="BI242"/>
  <c r="BH242"/>
  <c r="BG242"/>
  <c r="BF242"/>
  <c r="BE242"/>
  <c r="BD242"/>
  <c r="BC242"/>
  <c r="BB242"/>
  <c r="BA242" s="1"/>
  <c r="AZ242" s="1"/>
  <c r="AX242"/>
  <c r="AW242"/>
  <c r="AV242"/>
  <c r="AC242"/>
  <c r="H242"/>
  <c r="G242"/>
  <c r="BT241"/>
  <c r="BS241"/>
  <c r="BR241"/>
  <c r="BQ241"/>
  <c r="BP241"/>
  <c r="BO241"/>
  <c r="BN241"/>
  <c r="BM241"/>
  <c r="BL241" s="1"/>
  <c r="BK241"/>
  <c r="BJ241"/>
  <c r="BI241"/>
  <c r="BH241"/>
  <c r="BG241"/>
  <c r="BF241"/>
  <c r="BE241"/>
  <c r="BD241"/>
  <c r="BC241"/>
  <c r="BB241"/>
  <c r="BA241"/>
  <c r="AX241"/>
  <c r="AW241"/>
  <c r="AV241"/>
  <c r="AC241"/>
  <c r="H241"/>
  <c r="G241"/>
  <c r="BT240"/>
  <c r="BS240"/>
  <c r="BR240"/>
  <c r="BQ240"/>
  <c r="BP240"/>
  <c r="BO240"/>
  <c r="BN240"/>
  <c r="BM240"/>
  <c r="BL240" s="1"/>
  <c r="BK240"/>
  <c r="BJ240"/>
  <c r="BI240"/>
  <c r="BH240"/>
  <c r="BG240"/>
  <c r="BF240"/>
  <c r="BE240"/>
  <c r="BD240"/>
  <c r="BC240"/>
  <c r="BB240"/>
  <c r="BA240"/>
  <c r="AX240"/>
  <c r="AW240"/>
  <c r="AV240"/>
  <c r="AC240"/>
  <c r="H240"/>
  <c r="G240"/>
  <c r="BT239"/>
  <c r="BS239"/>
  <c r="BR239"/>
  <c r="BQ239"/>
  <c r="BP239"/>
  <c r="BO239"/>
  <c r="BN239"/>
  <c r="BM239"/>
  <c r="BL239" s="1"/>
  <c r="BK239"/>
  <c r="BJ239"/>
  <c r="BI239"/>
  <c r="BH239"/>
  <c r="BG239"/>
  <c r="BF239"/>
  <c r="BE239"/>
  <c r="BD239"/>
  <c r="BC239"/>
  <c r="BB239"/>
  <c r="BA239"/>
  <c r="AZ239" s="1"/>
  <c r="AX239"/>
  <c r="AW239"/>
  <c r="AV239"/>
  <c r="AC239"/>
  <c r="H239"/>
  <c r="G239" s="1"/>
  <c r="BT238"/>
  <c r="BS238"/>
  <c r="BR238"/>
  <c r="BQ238"/>
  <c r="BP238"/>
  <c r="BO238"/>
  <c r="BN238"/>
  <c r="BM238"/>
  <c r="BL238"/>
  <c r="BK238"/>
  <c r="BJ238"/>
  <c r="BI238"/>
  <c r="BH238"/>
  <c r="BG238"/>
  <c r="BF238"/>
  <c r="BE238"/>
  <c r="BD238"/>
  <c r="BC238"/>
  <c r="BB238"/>
  <c r="BA238" s="1"/>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G233"/>
  <c r="BT232"/>
  <c r="BS232"/>
  <c r="BR232"/>
  <c r="BQ232"/>
  <c r="BP232"/>
  <c r="BO232"/>
  <c r="BN232"/>
  <c r="BM232"/>
  <c r="BL232" s="1"/>
  <c r="BK232"/>
  <c r="BJ232"/>
  <c r="BI232"/>
  <c r="BH232"/>
  <c r="BG232"/>
  <c r="BF232"/>
  <c r="BE232"/>
  <c r="BD232"/>
  <c r="BC232"/>
  <c r="BB232"/>
  <c r="BA232"/>
  <c r="AX232"/>
  <c r="AW232"/>
  <c r="AV232"/>
  <c r="AC232"/>
  <c r="H232"/>
  <c r="G232"/>
  <c r="BT231"/>
  <c r="BS231"/>
  <c r="BR231"/>
  <c r="BQ231"/>
  <c r="BP231"/>
  <c r="BO231"/>
  <c r="BN231"/>
  <c r="BM231"/>
  <c r="BL231" s="1"/>
  <c r="BK231"/>
  <c r="BJ231"/>
  <c r="BI231"/>
  <c r="BH231"/>
  <c r="BG231"/>
  <c r="BF231"/>
  <c r="BE231"/>
  <c r="BD231"/>
  <c r="BC231"/>
  <c r="BB231"/>
  <c r="BA231"/>
  <c r="AZ231" s="1"/>
  <c r="AX231"/>
  <c r="AW231"/>
  <c r="AV231"/>
  <c r="AC231"/>
  <c r="H231"/>
  <c r="G231" s="1"/>
  <c r="BT230"/>
  <c r="BS230"/>
  <c r="BR230"/>
  <c r="BQ230"/>
  <c r="BP230"/>
  <c r="BO230"/>
  <c r="BN230"/>
  <c r="BM230"/>
  <c r="BL230"/>
  <c r="BK230"/>
  <c r="BJ230"/>
  <c r="BI230"/>
  <c r="BH230"/>
  <c r="BG230"/>
  <c r="BF230"/>
  <c r="BE230"/>
  <c r="BD230"/>
  <c r="BC230"/>
  <c r="BB230"/>
  <c r="BA230" s="1"/>
  <c r="AZ230" s="1"/>
  <c r="AX230"/>
  <c r="AW230"/>
  <c r="AV230"/>
  <c r="AC230"/>
  <c r="H230"/>
  <c r="G230"/>
  <c r="BT229"/>
  <c r="BS229"/>
  <c r="BR229"/>
  <c r="BQ229"/>
  <c r="BP229"/>
  <c r="BO229"/>
  <c r="BN229"/>
  <c r="BM229"/>
  <c r="BL229" s="1"/>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c r="AX228"/>
  <c r="AW228"/>
  <c r="AV228"/>
  <c r="AC228"/>
  <c r="H228"/>
  <c r="G228" s="1"/>
  <c r="BT227"/>
  <c r="BS227"/>
  <c r="BR227"/>
  <c r="BQ227"/>
  <c r="BP227"/>
  <c r="BO227"/>
  <c r="BN227"/>
  <c r="BM227"/>
  <c r="BL227"/>
  <c r="BK227"/>
  <c r="BJ227"/>
  <c r="BI227"/>
  <c r="BH227"/>
  <c r="BG227"/>
  <c r="BF227"/>
  <c r="BE227"/>
  <c r="BD227"/>
  <c r="BC227"/>
  <c r="BB227"/>
  <c r="BA227" s="1"/>
  <c r="AX227"/>
  <c r="AW227"/>
  <c r="AV227"/>
  <c r="AC227"/>
  <c r="H227"/>
  <c r="G227" s="1"/>
  <c r="BT226"/>
  <c r="BS226"/>
  <c r="BR226"/>
  <c r="BQ226"/>
  <c r="BP226"/>
  <c r="BO226"/>
  <c r="BN226"/>
  <c r="BM226"/>
  <c r="BL226"/>
  <c r="BK226"/>
  <c r="BJ226"/>
  <c r="BI226"/>
  <c r="BH226"/>
  <c r="BG226"/>
  <c r="BF226"/>
  <c r="BE226"/>
  <c r="BD226"/>
  <c r="BC226"/>
  <c r="BB226"/>
  <c r="BA226" s="1"/>
  <c r="AZ226"/>
  <c r="AX226"/>
  <c r="AW226"/>
  <c r="AV226"/>
  <c r="AC226"/>
  <c r="H226"/>
  <c r="G226"/>
  <c r="BT225"/>
  <c r="BS225"/>
  <c r="BR225"/>
  <c r="BQ225"/>
  <c r="BP225"/>
  <c r="BO225"/>
  <c r="BN225"/>
  <c r="BM225"/>
  <c r="BL225" s="1"/>
  <c r="BK225"/>
  <c r="BJ225"/>
  <c r="BI225"/>
  <c r="BH225"/>
  <c r="BG225"/>
  <c r="BF225"/>
  <c r="BE225"/>
  <c r="BD225"/>
  <c r="BC225"/>
  <c r="BB225"/>
  <c r="BA225"/>
  <c r="AX225"/>
  <c r="AW225"/>
  <c r="AV225"/>
  <c r="AC225"/>
  <c r="H225"/>
  <c r="G225" s="1"/>
  <c r="BT224"/>
  <c r="BS224"/>
  <c r="BR224"/>
  <c r="BQ224"/>
  <c r="BP224"/>
  <c r="BO224"/>
  <c r="BN224"/>
  <c r="BM224"/>
  <c r="BL224"/>
  <c r="BK224"/>
  <c r="BJ224"/>
  <c r="BI224"/>
  <c r="BH224"/>
  <c r="BG224"/>
  <c r="BF224"/>
  <c r="BE224"/>
  <c r="BD224"/>
  <c r="BC224"/>
  <c r="BB224"/>
  <c r="BA224" s="1"/>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X222"/>
  <c r="AW222"/>
  <c r="AV222"/>
  <c r="AC222"/>
  <c r="H222"/>
  <c r="G222" s="1"/>
  <c r="BT221"/>
  <c r="BS221"/>
  <c r="BR221"/>
  <c r="BQ221"/>
  <c r="BP221"/>
  <c r="BO221"/>
  <c r="BN221"/>
  <c r="BM221"/>
  <c r="BL221"/>
  <c r="BK221"/>
  <c r="BJ221"/>
  <c r="BI221"/>
  <c r="BH221"/>
  <c r="BG221"/>
  <c r="BF221"/>
  <c r="BE221"/>
  <c r="BD221"/>
  <c r="BC221"/>
  <c r="BB221"/>
  <c r="BA221" s="1"/>
  <c r="AZ221"/>
  <c r="AX221"/>
  <c r="AW221"/>
  <c r="AV221"/>
  <c r="AC221"/>
  <c r="H221"/>
  <c r="G221"/>
  <c r="BT220"/>
  <c r="BS220"/>
  <c r="BR220"/>
  <c r="BQ220"/>
  <c r="BP220"/>
  <c r="BO220"/>
  <c r="BN220"/>
  <c r="BM220"/>
  <c r="BL220" s="1"/>
  <c r="BK220"/>
  <c r="BJ220"/>
  <c r="BI220"/>
  <c r="BH220"/>
  <c r="BG220"/>
  <c r="BF220"/>
  <c r="BE220"/>
  <c r="BD220"/>
  <c r="BC220"/>
  <c r="BB220"/>
  <c r="BA220"/>
  <c r="AX220"/>
  <c r="AW220"/>
  <c r="AV220"/>
  <c r="AC220"/>
  <c r="H220"/>
  <c r="G220" s="1"/>
  <c r="BT219"/>
  <c r="BS219"/>
  <c r="BR219"/>
  <c r="BQ219"/>
  <c r="BP219"/>
  <c r="BO219"/>
  <c r="BN219"/>
  <c r="BM219"/>
  <c r="BL219"/>
  <c r="BK219"/>
  <c r="BJ219"/>
  <c r="BI219"/>
  <c r="BH219"/>
  <c r="BG219"/>
  <c r="BF219"/>
  <c r="BE219"/>
  <c r="BD219"/>
  <c r="BC219"/>
  <c r="BB219"/>
  <c r="BA219" s="1"/>
  <c r="AZ219"/>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c r="AZ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c r="BT212"/>
  <c r="BS212"/>
  <c r="BR212"/>
  <c r="BQ212"/>
  <c r="BP212"/>
  <c r="BO212"/>
  <c r="BN212"/>
  <c r="BM212"/>
  <c r="BL212" s="1"/>
  <c r="BK212"/>
  <c r="BJ212"/>
  <c r="BI212"/>
  <c r="BH212"/>
  <c r="BG212"/>
  <c r="BF212"/>
  <c r="BE212"/>
  <c r="BD212"/>
  <c r="BC212"/>
  <c r="BB212"/>
  <c r="BA212"/>
  <c r="AX212"/>
  <c r="AW212"/>
  <c r="AV212"/>
  <c r="AC212"/>
  <c r="H212"/>
  <c r="G212" s="1"/>
  <c r="BT211"/>
  <c r="BS211"/>
  <c r="BR211"/>
  <c r="BQ211"/>
  <c r="BP211"/>
  <c r="BO211"/>
  <c r="BN211"/>
  <c r="BM211"/>
  <c r="BL211" s="1"/>
  <c r="BK211"/>
  <c r="BJ211"/>
  <c r="BI211"/>
  <c r="BH211"/>
  <c r="BG211"/>
  <c r="BF211"/>
  <c r="BE211"/>
  <c r="BD211"/>
  <c r="BC211"/>
  <c r="BB211"/>
  <c r="BA21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X208"/>
  <c r="AW208"/>
  <c r="AV208"/>
  <c r="AC208"/>
  <c r="H208"/>
  <c r="G20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c r="BK368"/>
  <c r="BJ368"/>
  <c r="BI368"/>
  <c r="BH368"/>
  <c r="BG368"/>
  <c r="BF368"/>
  <c r="BE368"/>
  <c r="BD368"/>
  <c r="BC368"/>
  <c r="BB368"/>
  <c r="BA368" s="1"/>
  <c r="AX368"/>
  <c r="AW368"/>
  <c r="AV368"/>
  <c r="AC368"/>
  <c r="H368"/>
  <c r="BT367"/>
  <c r="BS367"/>
  <c r="BR367"/>
  <c r="BQ367"/>
  <c r="BP367"/>
  <c r="BO367"/>
  <c r="BN367"/>
  <c r="BM367"/>
  <c r="BL367" s="1"/>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s="1"/>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s="1"/>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s="1"/>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s="1"/>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s="1"/>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s="1"/>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s="1"/>
  <c r="AZ332" s="1"/>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s="1"/>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G323" s="1"/>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s="1"/>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s="1"/>
  <c r="AZ316" s="1"/>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L492" s="1"/>
  <c r="BK492"/>
  <c r="BJ492"/>
  <c r="BI492"/>
  <c r="BH492"/>
  <c r="BG492"/>
  <c r="BF492"/>
  <c r="BE492"/>
  <c r="BD492"/>
  <c r="BC492"/>
  <c r="BB492"/>
  <c r="BA492"/>
  <c r="AX492"/>
  <c r="AW492"/>
  <c r="AV492"/>
  <c r="AC492"/>
  <c r="H492"/>
  <c r="G492" s="1"/>
  <c r="BT491"/>
  <c r="BS491"/>
  <c r="BR491"/>
  <c r="BQ491"/>
  <c r="BP491"/>
  <c r="BO491"/>
  <c r="BN491"/>
  <c r="BM491"/>
  <c r="BL491"/>
  <c r="BK491"/>
  <c r="BJ491"/>
  <c r="BI491"/>
  <c r="BH491"/>
  <c r="BG491"/>
  <c r="BF491"/>
  <c r="BE491"/>
  <c r="BD491"/>
  <c r="BC491"/>
  <c r="BB491"/>
  <c r="BA491" s="1"/>
  <c r="AX491"/>
  <c r="AW491"/>
  <c r="AV491"/>
  <c r="AC491"/>
  <c r="H491"/>
  <c r="G491" s="1"/>
  <c r="BT490"/>
  <c r="BS490"/>
  <c r="BR490"/>
  <c r="BQ490"/>
  <c r="BP490"/>
  <c r="BO490"/>
  <c r="BN490"/>
  <c r="BM490"/>
  <c r="BL490"/>
  <c r="BK490"/>
  <c r="BJ490"/>
  <c r="BI490"/>
  <c r="BH490"/>
  <c r="BG490"/>
  <c r="BF490"/>
  <c r="BE490"/>
  <c r="BD490"/>
  <c r="BC490"/>
  <c r="BB490"/>
  <c r="BA490" s="1"/>
  <c r="AX490"/>
  <c r="AW490"/>
  <c r="AV490"/>
  <c r="AC490"/>
  <c r="H490"/>
  <c r="G490" s="1"/>
  <c r="BT489"/>
  <c r="BS489"/>
  <c r="BR489"/>
  <c r="BQ489"/>
  <c r="BP489"/>
  <c r="BO489"/>
  <c r="BN489"/>
  <c r="BM489"/>
  <c r="BL489"/>
  <c r="BK489"/>
  <c r="BJ489"/>
  <c r="BI489"/>
  <c r="BH489"/>
  <c r="BG489"/>
  <c r="BF489"/>
  <c r="BE489"/>
  <c r="BD489"/>
  <c r="BC489"/>
  <c r="BB489"/>
  <c r="BA489" s="1"/>
  <c r="AZ489" s="1"/>
  <c r="AX489"/>
  <c r="AW489"/>
  <c r="AV489"/>
  <c r="AC489"/>
  <c r="H489"/>
  <c r="G489"/>
  <c r="BT488"/>
  <c r="BS488"/>
  <c r="BR488"/>
  <c r="BQ488"/>
  <c r="BP488"/>
  <c r="BO488"/>
  <c r="BN488"/>
  <c r="BM488"/>
  <c r="BL488" s="1"/>
  <c r="BK488"/>
  <c r="BJ488"/>
  <c r="BI488"/>
  <c r="BH488"/>
  <c r="BG488"/>
  <c r="BF488"/>
  <c r="BE488"/>
  <c r="BD488"/>
  <c r="BC488"/>
  <c r="BB488"/>
  <c r="BA488"/>
  <c r="AZ488" s="1"/>
  <c r="AX488"/>
  <c r="AW488"/>
  <c r="AV488"/>
  <c r="AC488"/>
  <c r="H488"/>
  <c r="G488" s="1"/>
  <c r="BT487"/>
  <c r="BS487"/>
  <c r="BR487"/>
  <c r="BQ487"/>
  <c r="BP487"/>
  <c r="BO487"/>
  <c r="BN487"/>
  <c r="BM487"/>
  <c r="BL487"/>
  <c r="BK487"/>
  <c r="BJ487"/>
  <c r="BI487"/>
  <c r="BH487"/>
  <c r="BG487"/>
  <c r="BF487"/>
  <c r="BE487"/>
  <c r="BD487"/>
  <c r="BC487"/>
  <c r="BB487"/>
  <c r="BA487"/>
  <c r="AZ487" s="1"/>
  <c r="AX487"/>
  <c r="AW487"/>
  <c r="AV487"/>
  <c r="AC487"/>
  <c r="H487"/>
  <c r="G487"/>
  <c r="BT486"/>
  <c r="BS486"/>
  <c r="BR486"/>
  <c r="BQ486"/>
  <c r="BP486"/>
  <c r="BO486"/>
  <c r="BN486"/>
  <c r="BM486"/>
  <c r="BL486" s="1"/>
  <c r="BK486"/>
  <c r="BJ486"/>
  <c r="BI486"/>
  <c r="BH486"/>
  <c r="BG486"/>
  <c r="BF486"/>
  <c r="BE486"/>
  <c r="BD486"/>
  <c r="BC486"/>
  <c r="BB486"/>
  <c r="BA486"/>
  <c r="AZ486" s="1"/>
  <c r="AX486"/>
  <c r="AW486"/>
  <c r="AV486"/>
  <c r="AC486"/>
  <c r="H486"/>
  <c r="G486" s="1"/>
  <c r="BT485"/>
  <c r="BS485"/>
  <c r="BR485"/>
  <c r="BQ485"/>
  <c r="BP485"/>
  <c r="BO485"/>
  <c r="BN485"/>
  <c r="BM485"/>
  <c r="BL485"/>
  <c r="BK485"/>
  <c r="BJ485"/>
  <c r="BI485"/>
  <c r="BH485"/>
  <c r="BG485"/>
  <c r="BF485"/>
  <c r="BE485"/>
  <c r="BD485"/>
  <c r="BC485"/>
  <c r="BB485"/>
  <c r="BA485" s="1"/>
  <c r="AZ485" s="1"/>
  <c r="AX485"/>
  <c r="AW485"/>
  <c r="AV485"/>
  <c r="AC485"/>
  <c r="H485"/>
  <c r="G485"/>
  <c r="BT484"/>
  <c r="BS484"/>
  <c r="BR484"/>
  <c r="BQ484"/>
  <c r="BP484"/>
  <c r="BO484"/>
  <c r="BN484"/>
  <c r="BM484"/>
  <c r="BL484" s="1"/>
  <c r="BK484"/>
  <c r="BJ484"/>
  <c r="BI484"/>
  <c r="BH484"/>
  <c r="BG484"/>
  <c r="BF484"/>
  <c r="BE484"/>
  <c r="BD484"/>
  <c r="BC484"/>
  <c r="BB484"/>
  <c r="BA484"/>
  <c r="AX484"/>
  <c r="AW484"/>
  <c r="AV484"/>
  <c r="AC484"/>
  <c r="H484"/>
  <c r="G484" s="1"/>
  <c r="BT483"/>
  <c r="BS483"/>
  <c r="BR483"/>
  <c r="BQ483"/>
  <c r="BP483"/>
  <c r="BO483"/>
  <c r="BN483"/>
  <c r="BM483"/>
  <c r="BL483"/>
  <c r="BK483"/>
  <c r="BJ483"/>
  <c r="BI483"/>
  <c r="BH483"/>
  <c r="BG483"/>
  <c r="BF483"/>
  <c r="BE483"/>
  <c r="BD483"/>
  <c r="BC483"/>
  <c r="BB483"/>
  <c r="BA483" s="1"/>
  <c r="AZ483" s="1"/>
  <c r="AX483"/>
  <c r="AW483"/>
  <c r="AV483"/>
  <c r="AC483"/>
  <c r="H483"/>
  <c r="G483"/>
  <c r="BT482"/>
  <c r="BS482"/>
  <c r="BR482"/>
  <c r="BQ482"/>
  <c r="BP482"/>
  <c r="BO482"/>
  <c r="BN482"/>
  <c r="BM482"/>
  <c r="BL482" s="1"/>
  <c r="BK482"/>
  <c r="BJ482"/>
  <c r="BI482"/>
  <c r="BH482"/>
  <c r="BG482"/>
  <c r="BF482"/>
  <c r="BE482"/>
  <c r="BD482"/>
  <c r="BC482"/>
  <c r="BB482"/>
  <c r="BA482"/>
  <c r="AZ482" s="1"/>
  <c r="AX482"/>
  <c r="AW482"/>
  <c r="AV482"/>
  <c r="AC482"/>
  <c r="H482"/>
  <c r="G482" s="1"/>
  <c r="BT481"/>
  <c r="BS481"/>
  <c r="BR481"/>
  <c r="BQ481"/>
  <c r="BP481"/>
  <c r="BO481"/>
  <c r="BN481"/>
  <c r="BM481"/>
  <c r="BL481"/>
  <c r="BK481"/>
  <c r="BJ481"/>
  <c r="BI481"/>
  <c r="BH481"/>
  <c r="BG481"/>
  <c r="BF481"/>
  <c r="BE481"/>
  <c r="BD481"/>
  <c r="BC481"/>
  <c r="BB481"/>
  <c r="BA481"/>
  <c r="AZ481" s="1"/>
  <c r="AX481"/>
  <c r="AW481"/>
  <c r="AV481"/>
  <c r="AC481"/>
  <c r="H481"/>
  <c r="G481"/>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Z479" s="1"/>
  <c r="AX479"/>
  <c r="AW479"/>
  <c r="AV479"/>
  <c r="AC479"/>
  <c r="H479"/>
  <c r="G479"/>
  <c r="BT478"/>
  <c r="BS478"/>
  <c r="BR478"/>
  <c r="BQ478"/>
  <c r="BP478"/>
  <c r="BO478"/>
  <c r="BN478"/>
  <c r="BM478"/>
  <c r="BL478" s="1"/>
  <c r="BK478"/>
  <c r="BJ478"/>
  <c r="BI478"/>
  <c r="BH478"/>
  <c r="BG478"/>
  <c r="BF478"/>
  <c r="BE478"/>
  <c r="BD478"/>
  <c r="BC478"/>
  <c r="BB478"/>
  <c r="BA478"/>
  <c r="AX478"/>
  <c r="AW478"/>
  <c r="AV478"/>
  <c r="AC478"/>
  <c r="H478"/>
  <c r="G478" s="1"/>
  <c r="BT477"/>
  <c r="BS477"/>
  <c r="BR477"/>
  <c r="BQ477"/>
  <c r="BP477"/>
  <c r="BO477"/>
  <c r="BN477"/>
  <c r="BM477"/>
  <c r="BL477"/>
  <c r="BK477"/>
  <c r="BJ477"/>
  <c r="BI477"/>
  <c r="BH477"/>
  <c r="BG477"/>
  <c r="BF477"/>
  <c r="BE477"/>
  <c r="BD477"/>
  <c r="BC477"/>
  <c r="BB477"/>
  <c r="BA477"/>
  <c r="AZ477" s="1"/>
  <c r="AX477"/>
  <c r="AW477"/>
  <c r="AV477"/>
  <c r="AC477"/>
  <c r="H477"/>
  <c r="G477"/>
  <c r="BT476"/>
  <c r="BS476"/>
  <c r="BR476"/>
  <c r="BQ476"/>
  <c r="BP476"/>
  <c r="BO476"/>
  <c r="BN476"/>
  <c r="BM476"/>
  <c r="BL476" s="1"/>
  <c r="BK476"/>
  <c r="BJ476"/>
  <c r="BI476"/>
  <c r="BH476"/>
  <c r="BG476"/>
  <c r="BF476"/>
  <c r="BE476"/>
  <c r="BD476"/>
  <c r="BC476"/>
  <c r="BB476"/>
  <c r="BA476"/>
  <c r="AX476"/>
  <c r="AW476"/>
  <c r="AV476"/>
  <c r="AC476"/>
  <c r="H476"/>
  <c r="G476" s="1"/>
  <c r="BT475"/>
  <c r="BS475"/>
  <c r="BR475"/>
  <c r="BQ475"/>
  <c r="BP475"/>
  <c r="BO475"/>
  <c r="BN475"/>
  <c r="BM475"/>
  <c r="BL475"/>
  <c r="BK475"/>
  <c r="BJ475"/>
  <c r="BI475"/>
  <c r="BH475"/>
  <c r="BG475"/>
  <c r="BF475"/>
  <c r="BE475"/>
  <c r="BD475"/>
  <c r="BC475"/>
  <c r="BB475"/>
  <c r="BA475" s="1"/>
  <c r="AZ475" s="1"/>
  <c r="AX475"/>
  <c r="AW475"/>
  <c r="AV475"/>
  <c r="AC475"/>
  <c r="H475"/>
  <c r="G475"/>
  <c r="BT474"/>
  <c r="BS474"/>
  <c r="BR474"/>
  <c r="BQ474"/>
  <c r="BP474"/>
  <c r="BO474"/>
  <c r="BN474"/>
  <c r="BM474"/>
  <c r="BL474" s="1"/>
  <c r="BK474"/>
  <c r="BJ474"/>
  <c r="BI474"/>
  <c r="BH474"/>
  <c r="BG474"/>
  <c r="BF474"/>
  <c r="BE474"/>
  <c r="BD474"/>
  <c r="BC474"/>
  <c r="BB474"/>
  <c r="BA474"/>
  <c r="AZ474" s="1"/>
  <c r="AX474"/>
  <c r="AW474"/>
  <c r="AV474"/>
  <c r="AC474"/>
  <c r="H474"/>
  <c r="G474" s="1"/>
  <c r="BT473"/>
  <c r="BS473"/>
  <c r="BR473"/>
  <c r="BQ473"/>
  <c r="BP473"/>
  <c r="BO473"/>
  <c r="BN473"/>
  <c r="BM473"/>
  <c r="BL473"/>
  <c r="BK473"/>
  <c r="BJ473"/>
  <c r="BI473"/>
  <c r="BH473"/>
  <c r="BG473"/>
  <c r="BF473"/>
  <c r="BE473"/>
  <c r="BD473"/>
  <c r="BC473"/>
  <c r="BB473"/>
  <c r="BA473" s="1"/>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c r="BT471"/>
  <c r="BS471"/>
  <c r="BR471"/>
  <c r="BQ471"/>
  <c r="BP471"/>
  <c r="BO471"/>
  <c r="BN471"/>
  <c r="BM471"/>
  <c r="BL471" s="1"/>
  <c r="BK471"/>
  <c r="BJ471"/>
  <c r="BI471"/>
  <c r="BH471"/>
  <c r="BG471"/>
  <c r="BF471"/>
  <c r="BE471"/>
  <c r="BD471"/>
  <c r="BC471"/>
  <c r="BB471"/>
  <c r="BA47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s="1"/>
  <c r="AZ469" s="1"/>
  <c r="AX469"/>
  <c r="AW469"/>
  <c r="AV469"/>
  <c r="AC469"/>
  <c r="H469"/>
  <c r="G469" s="1"/>
  <c r="BT468"/>
  <c r="BS468"/>
  <c r="BR468"/>
  <c r="BQ468"/>
  <c r="BP468"/>
  <c r="BO468"/>
  <c r="BN468"/>
  <c r="BM468"/>
  <c r="BL468"/>
  <c r="BK468"/>
  <c r="BJ468"/>
  <c r="BI468"/>
  <c r="BH468"/>
  <c r="BG468"/>
  <c r="BF468"/>
  <c r="BE468"/>
  <c r="BD468"/>
  <c r="BC468"/>
  <c r="BB468"/>
  <c r="BA468" s="1"/>
  <c r="AZ468" s="1"/>
  <c r="AX468"/>
  <c r="AW468"/>
  <c r="AV468"/>
  <c r="AC468"/>
  <c r="H468"/>
  <c r="G468"/>
  <c r="BT467"/>
  <c r="BS467"/>
  <c r="BR467"/>
  <c r="BQ467"/>
  <c r="BP467"/>
  <c r="BO467"/>
  <c r="BN467"/>
  <c r="BM467"/>
  <c r="BL467" s="1"/>
  <c r="BK467"/>
  <c r="BJ467"/>
  <c r="BI467"/>
  <c r="BH467"/>
  <c r="BG467"/>
  <c r="BF467"/>
  <c r="BE467"/>
  <c r="BD467"/>
  <c r="BC467"/>
  <c r="BB467"/>
  <c r="BA467"/>
  <c r="AZ467" s="1"/>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c r="BT464"/>
  <c r="BS464"/>
  <c r="BR464"/>
  <c r="BQ464"/>
  <c r="BP464"/>
  <c r="BO464"/>
  <c r="BN464"/>
  <c r="BM464"/>
  <c r="BL464" s="1"/>
  <c r="BK464"/>
  <c r="BJ464"/>
  <c r="BI464"/>
  <c r="BH464"/>
  <c r="BG464"/>
  <c r="BF464"/>
  <c r="BE464"/>
  <c r="BD464"/>
  <c r="BC464"/>
  <c r="BB464"/>
  <c r="BA464"/>
  <c r="AZ464" s="1"/>
  <c r="AX464"/>
  <c r="AW464"/>
  <c r="AV464"/>
  <c r="AC464"/>
  <c r="H464"/>
  <c r="G464" s="1"/>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s="1"/>
  <c r="AZ462" s="1"/>
  <c r="AX462"/>
  <c r="AW462"/>
  <c r="AV462"/>
  <c r="AC462"/>
  <c r="H462"/>
  <c r="G462" s="1"/>
  <c r="BT461"/>
  <c r="BS461"/>
  <c r="BR461"/>
  <c r="BQ461"/>
  <c r="BP461"/>
  <c r="BO461"/>
  <c r="BN461"/>
  <c r="BM461"/>
  <c r="BL461"/>
  <c r="BK461"/>
  <c r="BJ461"/>
  <c r="BI461"/>
  <c r="BH461"/>
  <c r="BG461"/>
  <c r="BF461"/>
  <c r="BE461"/>
  <c r="BD461"/>
  <c r="BC461"/>
  <c r="BB461"/>
  <c r="BA461" s="1"/>
  <c r="AZ461" s="1"/>
  <c r="AX461"/>
  <c r="AW461"/>
  <c r="AV461"/>
  <c r="AC461"/>
  <c r="H461"/>
  <c r="G461"/>
  <c r="BT460"/>
  <c r="BS460"/>
  <c r="BR460"/>
  <c r="BQ460"/>
  <c r="BP460"/>
  <c r="BO460"/>
  <c r="BN460"/>
  <c r="BM460"/>
  <c r="BL460" s="1"/>
  <c r="BK460"/>
  <c r="BJ460"/>
  <c r="BI460"/>
  <c r="BH460"/>
  <c r="BG460"/>
  <c r="BF460"/>
  <c r="BE460"/>
  <c r="BD460"/>
  <c r="BC460"/>
  <c r="BB460"/>
  <c r="BA460"/>
  <c r="AX460"/>
  <c r="AW460"/>
  <c r="AV460"/>
  <c r="AC460"/>
  <c r="H460"/>
  <c r="G460" s="1"/>
  <c r="BT459"/>
  <c r="BS459"/>
  <c r="BR459"/>
  <c r="BQ459"/>
  <c r="BP459"/>
  <c r="BO459"/>
  <c r="BN459"/>
  <c r="BM459"/>
  <c r="BL459"/>
  <c r="BK459"/>
  <c r="BJ459"/>
  <c r="BI459"/>
  <c r="BH459"/>
  <c r="BG459"/>
  <c r="BF459"/>
  <c r="BE459"/>
  <c r="BD459"/>
  <c r="BC459"/>
  <c r="BB459"/>
  <c r="BA459"/>
  <c r="AZ459" s="1"/>
  <c r="AX459"/>
  <c r="AW459"/>
  <c r="AV459"/>
  <c r="AC459"/>
  <c r="H459"/>
  <c r="G459"/>
  <c r="BT458"/>
  <c r="BS458"/>
  <c r="BR458"/>
  <c r="BQ458"/>
  <c r="BP458"/>
  <c r="BO458"/>
  <c r="BN458"/>
  <c r="BM458"/>
  <c r="BL458" s="1"/>
  <c r="BK458"/>
  <c r="BJ458"/>
  <c r="BI458"/>
  <c r="BH458"/>
  <c r="BG458"/>
  <c r="BF458"/>
  <c r="BE458"/>
  <c r="BD458"/>
  <c r="BC458"/>
  <c r="BB458"/>
  <c r="BA458" s="1"/>
  <c r="AZ458" s="1"/>
  <c r="AX458"/>
  <c r="AW458"/>
  <c r="AV458"/>
  <c r="AC458"/>
  <c r="H458"/>
  <c r="G458" s="1"/>
  <c r="BT457"/>
  <c r="BS457"/>
  <c r="BR457"/>
  <c r="BQ457"/>
  <c r="BP457"/>
  <c r="BO457"/>
  <c r="BN457"/>
  <c r="BM457"/>
  <c r="BL457"/>
  <c r="BK457"/>
  <c r="BJ457"/>
  <c r="BI457"/>
  <c r="BH457"/>
  <c r="BG457"/>
  <c r="BF457"/>
  <c r="BE457"/>
  <c r="BD457"/>
  <c r="BC457"/>
  <c r="BB457"/>
  <c r="BA457" s="1"/>
  <c r="AX457"/>
  <c r="AW457"/>
  <c r="AV457"/>
  <c r="AC457"/>
  <c r="H457"/>
  <c r="G457" s="1"/>
  <c r="BT456"/>
  <c r="BS456"/>
  <c r="BR456"/>
  <c r="BQ456"/>
  <c r="BP456"/>
  <c r="BO456"/>
  <c r="BN456"/>
  <c r="BM456"/>
  <c r="BL456"/>
  <c r="BK456"/>
  <c r="BJ456"/>
  <c r="BI456"/>
  <c r="BH456"/>
  <c r="BG456"/>
  <c r="BF456"/>
  <c r="BE456"/>
  <c r="BD456"/>
  <c r="BC456"/>
  <c r="BB456"/>
  <c r="BA456" s="1"/>
  <c r="AZ456" s="1"/>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s="1"/>
  <c r="BT454"/>
  <c r="BS454"/>
  <c r="BR454"/>
  <c r="BQ454"/>
  <c r="BP454"/>
  <c r="BO454"/>
  <c r="BN454"/>
  <c r="BM454"/>
  <c r="BL454"/>
  <c r="BK454"/>
  <c r="BJ454"/>
  <c r="BI454"/>
  <c r="BH454"/>
  <c r="BG454"/>
  <c r="BF454"/>
  <c r="BE454"/>
  <c r="BD454"/>
  <c r="BC454"/>
  <c r="BB454"/>
  <c r="BA454"/>
  <c r="AZ454" s="1"/>
  <c r="AX454"/>
  <c r="AW454"/>
  <c r="AV454"/>
  <c r="AC454"/>
  <c r="H454"/>
  <c r="G454"/>
  <c r="BT453"/>
  <c r="BS453"/>
  <c r="BR453"/>
  <c r="BQ453"/>
  <c r="BP453"/>
  <c r="BO453"/>
  <c r="BN453"/>
  <c r="BM453"/>
  <c r="BL453" s="1"/>
  <c r="BK453"/>
  <c r="BJ453"/>
  <c r="BI453"/>
  <c r="BH453"/>
  <c r="BG453"/>
  <c r="BF453"/>
  <c r="BE453"/>
  <c r="BD453"/>
  <c r="BC453"/>
  <c r="BB453"/>
  <c r="BA453"/>
  <c r="AX453"/>
  <c r="AW453"/>
  <c r="AV453"/>
  <c r="AC453"/>
  <c r="H453"/>
  <c r="G453" s="1"/>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BK451"/>
  <c r="BJ451"/>
  <c r="BI451"/>
  <c r="BH451"/>
  <c r="BG451"/>
  <c r="BF451"/>
  <c r="BE451"/>
  <c r="BD451"/>
  <c r="BC451"/>
  <c r="BB451"/>
  <c r="BA451" s="1"/>
  <c r="AZ451" s="1"/>
  <c r="AX451"/>
  <c r="AW451"/>
  <c r="AV451"/>
  <c r="AC451"/>
  <c r="H451"/>
  <c r="G451" s="1"/>
  <c r="BT450"/>
  <c r="BS450"/>
  <c r="BR450"/>
  <c r="BQ450"/>
  <c r="BP450"/>
  <c r="BO450"/>
  <c r="BN450"/>
  <c r="BM450"/>
  <c r="BL450"/>
  <c r="BK450"/>
  <c r="BJ450"/>
  <c r="BI450"/>
  <c r="BH450"/>
  <c r="BG450"/>
  <c r="BF450"/>
  <c r="BE450"/>
  <c r="BD450"/>
  <c r="BC450"/>
  <c r="BB450"/>
  <c r="BA450"/>
  <c r="AZ450" s="1"/>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c r="BT447"/>
  <c r="BS447"/>
  <c r="BR447"/>
  <c r="BQ447"/>
  <c r="BP447"/>
  <c r="BO447"/>
  <c r="BN447"/>
  <c r="BM447"/>
  <c r="BL447" s="1"/>
  <c r="BK447"/>
  <c r="BJ447"/>
  <c r="BI447"/>
  <c r="BH447"/>
  <c r="BG447"/>
  <c r="BF447"/>
  <c r="BE447"/>
  <c r="BD447"/>
  <c r="BC447"/>
  <c r="BB447"/>
  <c r="BA447"/>
  <c r="AZ447" s="1"/>
  <c r="AX447"/>
  <c r="AW447"/>
  <c r="AV447"/>
  <c r="AC447"/>
  <c r="H447"/>
  <c r="G447" s="1"/>
  <c r="BT446"/>
  <c r="BS446"/>
  <c r="BR446"/>
  <c r="BQ446"/>
  <c r="BP446"/>
  <c r="BO446"/>
  <c r="BN446"/>
  <c r="BM446"/>
  <c r="BL446"/>
  <c r="BK446"/>
  <c r="BJ446"/>
  <c r="BI446"/>
  <c r="BH446"/>
  <c r="BG446"/>
  <c r="BF446"/>
  <c r="BE446"/>
  <c r="BD446"/>
  <c r="BC446"/>
  <c r="BB446"/>
  <c r="BA446"/>
  <c r="AZ446" s="1"/>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BK443"/>
  <c r="BJ443"/>
  <c r="BI443"/>
  <c r="BH443"/>
  <c r="BG443"/>
  <c r="BF443"/>
  <c r="BE443"/>
  <c r="BD443"/>
  <c r="BC443"/>
  <c r="BB443"/>
  <c r="BA443" s="1"/>
  <c r="AZ443" s="1"/>
  <c r="AX443"/>
  <c r="AW443"/>
  <c r="AV443"/>
  <c r="AC443"/>
  <c r="H443"/>
  <c r="G443" s="1"/>
  <c r="BT442"/>
  <c r="BS442"/>
  <c r="BR442"/>
  <c r="BQ442"/>
  <c r="BP442"/>
  <c r="BO442"/>
  <c r="BN442"/>
  <c r="BM442"/>
  <c r="BL442"/>
  <c r="BK442"/>
  <c r="BJ442"/>
  <c r="BI442"/>
  <c r="BH442"/>
  <c r="BG442"/>
  <c r="BF442"/>
  <c r="BE442"/>
  <c r="BD442"/>
  <c r="BC442"/>
  <c r="BB442"/>
  <c r="BA442"/>
  <c r="AZ442" s="1"/>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BK438"/>
  <c r="BJ438"/>
  <c r="BI438"/>
  <c r="BH438"/>
  <c r="BG438"/>
  <c r="BF438"/>
  <c r="BE438"/>
  <c r="BD438"/>
  <c r="BC438"/>
  <c r="BB438"/>
  <c r="BA438" s="1"/>
  <c r="AZ438" s="1"/>
  <c r="AX438"/>
  <c r="AW438"/>
  <c r="AV438"/>
  <c r="AC438"/>
  <c r="H438"/>
  <c r="G438" s="1"/>
  <c r="BT437"/>
  <c r="BS437"/>
  <c r="BR437"/>
  <c r="BQ437"/>
  <c r="BP437"/>
  <c r="BO437"/>
  <c r="BN437"/>
  <c r="BM437"/>
  <c r="BL437"/>
  <c r="BK437"/>
  <c r="BJ437"/>
  <c r="BI437"/>
  <c r="BH437"/>
  <c r="BG437"/>
  <c r="BF437"/>
  <c r="BE437"/>
  <c r="BD437"/>
  <c r="BC437"/>
  <c r="BB437"/>
  <c r="BA437" s="1"/>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BK435"/>
  <c r="BJ435"/>
  <c r="BI435"/>
  <c r="BH435"/>
  <c r="BG435"/>
  <c r="BF435"/>
  <c r="BE435"/>
  <c r="BD435"/>
  <c r="BC435"/>
  <c r="BB435"/>
  <c r="BA435" s="1"/>
  <c r="AZ435" s="1"/>
  <c r="AX435"/>
  <c r="AW435"/>
  <c r="AV435"/>
  <c r="AC435"/>
  <c r="H435"/>
  <c r="G435" s="1"/>
  <c r="BT434"/>
  <c r="BS434"/>
  <c r="BR434"/>
  <c r="BQ434"/>
  <c r="BP434"/>
  <c r="BO434"/>
  <c r="BN434"/>
  <c r="BM434"/>
  <c r="BL434"/>
  <c r="BK434"/>
  <c r="BJ434"/>
  <c r="BI434"/>
  <c r="BH434"/>
  <c r="BG434"/>
  <c r="BF434"/>
  <c r="BE434"/>
  <c r="BD434"/>
  <c r="BC434"/>
  <c r="BB434"/>
  <c r="BA434"/>
  <c r="AZ434" s="1"/>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c r="BT432"/>
  <c r="BS432"/>
  <c r="BR432"/>
  <c r="BQ432"/>
  <c r="BP432"/>
  <c r="BO432"/>
  <c r="BN432"/>
  <c r="BM432"/>
  <c r="BL432" s="1"/>
  <c r="BK432"/>
  <c r="BJ432"/>
  <c r="BI432"/>
  <c r="BH432"/>
  <c r="BG432"/>
  <c r="BF432"/>
  <c r="BE432"/>
  <c r="BD432"/>
  <c r="BC432"/>
  <c r="BB432"/>
  <c r="BA432"/>
  <c r="AZ432" s="1"/>
  <c r="AX432"/>
  <c r="AW432"/>
  <c r="AV432"/>
  <c r="AC432"/>
  <c r="H432"/>
  <c r="G432" s="1"/>
  <c r="BT431"/>
  <c r="BS431"/>
  <c r="BR431"/>
  <c r="BQ431"/>
  <c r="BP431"/>
  <c r="BO431"/>
  <c r="BN431"/>
  <c r="BM431"/>
  <c r="BL431"/>
  <c r="BK431"/>
  <c r="BJ431"/>
  <c r="BI431"/>
  <c r="BH431"/>
  <c r="BG431"/>
  <c r="BF431"/>
  <c r="BE431"/>
  <c r="BD431"/>
  <c r="BC431"/>
  <c r="BB431"/>
  <c r="BA431" s="1"/>
  <c r="AZ431" s="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c r="BT427"/>
  <c r="BS427"/>
  <c r="BR427"/>
  <c r="BQ427"/>
  <c r="BP427"/>
  <c r="BO427"/>
  <c r="BN427"/>
  <c r="BM427"/>
  <c r="BL427" s="1"/>
  <c r="BK427"/>
  <c r="BJ427"/>
  <c r="BI427"/>
  <c r="BH427"/>
  <c r="BG427"/>
  <c r="BF427"/>
  <c r="BE427"/>
  <c r="BD427"/>
  <c r="BC427"/>
  <c r="BB427"/>
  <c r="BA427"/>
  <c r="AX427"/>
  <c r="AW427"/>
  <c r="AV427"/>
  <c r="AC427"/>
  <c r="H427"/>
  <c r="G427" s="1"/>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s="1"/>
  <c r="BT422"/>
  <c r="BS422"/>
  <c r="BR422"/>
  <c r="BQ422"/>
  <c r="BP422"/>
  <c r="BO422"/>
  <c r="BN422"/>
  <c r="BM422"/>
  <c r="BL422"/>
  <c r="BK422"/>
  <c r="BJ422"/>
  <c r="BI422"/>
  <c r="BH422"/>
  <c r="BG422"/>
  <c r="BF422"/>
  <c r="BE422"/>
  <c r="BD422"/>
  <c r="BC422"/>
  <c r="BB422"/>
  <c r="BA422"/>
  <c r="AZ422" s="1"/>
  <c r="AX422"/>
  <c r="AW422"/>
  <c r="AV422"/>
  <c r="AC422"/>
  <c r="H422"/>
  <c r="G422"/>
  <c r="BT421"/>
  <c r="BS421"/>
  <c r="BR421"/>
  <c r="BQ421"/>
  <c r="BP421"/>
  <c r="BO421"/>
  <c r="BN421"/>
  <c r="BM421"/>
  <c r="BL421" s="1"/>
  <c r="BK421"/>
  <c r="BJ421"/>
  <c r="BI421"/>
  <c r="BH421"/>
  <c r="BG421"/>
  <c r="BF421"/>
  <c r="BE421"/>
  <c r="BD421"/>
  <c r="BC421"/>
  <c r="BB421"/>
  <c r="BA42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s="1"/>
  <c r="AZ419" s="1"/>
  <c r="AX419"/>
  <c r="AW419"/>
  <c r="AV419"/>
  <c r="AC419"/>
  <c r="H419"/>
  <c r="G419" s="1"/>
  <c r="BT418"/>
  <c r="BS418"/>
  <c r="BR418"/>
  <c r="BQ418"/>
  <c r="BP418"/>
  <c r="BO418"/>
  <c r="BN418"/>
  <c r="BM418"/>
  <c r="BL418"/>
  <c r="BK418"/>
  <c r="BJ418"/>
  <c r="BI418"/>
  <c r="BH418"/>
  <c r="BG418"/>
  <c r="BF418"/>
  <c r="BE418"/>
  <c r="BD418"/>
  <c r="BC418"/>
  <c r="BB418"/>
  <c r="BA418"/>
  <c r="AZ418" s="1"/>
  <c r="AX418"/>
  <c r="AW418"/>
  <c r="AV418"/>
  <c r="AC418"/>
  <c r="H418"/>
  <c r="G418"/>
  <c r="BT417"/>
  <c r="BS417"/>
  <c r="BR417"/>
  <c r="BQ417"/>
  <c r="BP417"/>
  <c r="BO417"/>
  <c r="BN417"/>
  <c r="BM417"/>
  <c r="BL417" s="1"/>
  <c r="BK417"/>
  <c r="BJ417"/>
  <c r="BI417"/>
  <c r="BH417"/>
  <c r="BG417"/>
  <c r="BF417"/>
  <c r="BE417"/>
  <c r="BD417"/>
  <c r="BC417"/>
  <c r="BB417"/>
  <c r="BA417"/>
  <c r="AX417"/>
  <c r="AW417"/>
  <c r="AV417"/>
  <c r="AC417"/>
  <c r="H417"/>
  <c r="G417"/>
  <c r="BT416"/>
  <c r="BS416"/>
  <c r="BR416"/>
  <c r="BQ416"/>
  <c r="BP416"/>
  <c r="BO416"/>
  <c r="BN416"/>
  <c r="BM416"/>
  <c r="BL416" s="1"/>
  <c r="BK416"/>
  <c r="BJ416"/>
  <c r="BI416"/>
  <c r="BH416"/>
  <c r="BG416"/>
  <c r="BF416"/>
  <c r="BE416"/>
  <c r="BD416"/>
  <c r="BC416"/>
  <c r="BB416"/>
  <c r="BA416"/>
  <c r="AZ416" s="1"/>
  <c r="AX416"/>
  <c r="AW416"/>
  <c r="AV416"/>
  <c r="AC416"/>
  <c r="H416"/>
  <c r="G416" s="1"/>
  <c r="BT415"/>
  <c r="BS415"/>
  <c r="BR415"/>
  <c r="BQ415"/>
  <c r="BP415"/>
  <c r="BO415"/>
  <c r="BN415"/>
  <c r="BM415"/>
  <c r="BL415"/>
  <c r="BK415"/>
  <c r="BJ415"/>
  <c r="BI415"/>
  <c r="BH415"/>
  <c r="BG415"/>
  <c r="BF415"/>
  <c r="BE415"/>
  <c r="BD415"/>
  <c r="BC415"/>
  <c r="BB415"/>
  <c r="BA415" s="1"/>
  <c r="AZ415" s="1"/>
  <c r="AX415"/>
  <c r="AW415"/>
  <c r="AV415"/>
  <c r="AC415"/>
  <c r="H415"/>
  <c r="G415"/>
  <c r="BT414"/>
  <c r="BS414"/>
  <c r="BR414"/>
  <c r="BQ414"/>
  <c r="BP414"/>
  <c r="BO414"/>
  <c r="BN414"/>
  <c r="BM414"/>
  <c r="BL414" s="1"/>
  <c r="BK414"/>
  <c r="BJ414"/>
  <c r="BI414"/>
  <c r="BH414"/>
  <c r="BG414"/>
  <c r="BF414"/>
  <c r="BE414"/>
  <c r="BD414"/>
  <c r="BC414"/>
  <c r="BB414"/>
  <c r="BA414"/>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c r="BT411"/>
  <c r="BS411"/>
  <c r="BR411"/>
  <c r="BQ411"/>
  <c r="BP411"/>
  <c r="BO411"/>
  <c r="BN411"/>
  <c r="BM411"/>
  <c r="BL411" s="1"/>
  <c r="BK411"/>
  <c r="BJ411"/>
  <c r="BI411"/>
  <c r="BH411"/>
  <c r="BG411"/>
  <c r="BF411"/>
  <c r="BE411"/>
  <c r="BD411"/>
  <c r="BC411"/>
  <c r="BB411"/>
  <c r="BA411"/>
  <c r="AX411"/>
  <c r="AW411"/>
  <c r="AV411"/>
  <c r="AC411"/>
  <c r="H411"/>
  <c r="G411" s="1"/>
  <c r="BT410"/>
  <c r="BS410"/>
  <c r="BR410"/>
  <c r="BQ410"/>
  <c r="BP410"/>
  <c r="BO410"/>
  <c r="BN410"/>
  <c r="BM410"/>
  <c r="BL410"/>
  <c r="BK410"/>
  <c r="BJ410"/>
  <c r="BI410"/>
  <c r="BH410"/>
  <c r="BG410"/>
  <c r="BF410"/>
  <c r="BE410"/>
  <c r="BD410"/>
  <c r="BC410"/>
  <c r="BB410"/>
  <c r="BA410" s="1"/>
  <c r="AZ410" s="1"/>
  <c r="AX410"/>
  <c r="AW410"/>
  <c r="AV410"/>
  <c r="AC410"/>
  <c r="H410"/>
  <c r="G410"/>
  <c r="BT409"/>
  <c r="BS409"/>
  <c r="BR409"/>
  <c r="BQ409"/>
  <c r="BP409"/>
  <c r="BO409"/>
  <c r="BN409"/>
  <c r="BM409"/>
  <c r="BL409" s="1"/>
  <c r="BK409"/>
  <c r="BJ409"/>
  <c r="BI409"/>
  <c r="BH409"/>
  <c r="BG409"/>
  <c r="BF409"/>
  <c r="BE409"/>
  <c r="BD409"/>
  <c r="BC409"/>
  <c r="BB409"/>
  <c r="BA409"/>
  <c r="AZ409" s="1"/>
  <c r="AX409"/>
  <c r="AW409"/>
  <c r="AV409"/>
  <c r="AC409"/>
  <c r="H409"/>
  <c r="G409" s="1"/>
  <c r="BT408"/>
  <c r="BS408"/>
  <c r="BR408"/>
  <c r="BQ408"/>
  <c r="BP408"/>
  <c r="BO408"/>
  <c r="BN408"/>
  <c r="BM408"/>
  <c r="BL408"/>
  <c r="BK408"/>
  <c r="BJ408"/>
  <c r="BI408"/>
  <c r="BH408"/>
  <c r="BG408"/>
  <c r="BF408"/>
  <c r="BE408"/>
  <c r="BD408"/>
  <c r="BC408"/>
  <c r="BB408"/>
  <c r="BA408" s="1"/>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BK406"/>
  <c r="BJ406"/>
  <c r="BI406"/>
  <c r="BH406"/>
  <c r="BG406"/>
  <c r="BF406"/>
  <c r="BE406"/>
  <c r="BD406"/>
  <c r="BC406"/>
  <c r="BB406"/>
  <c r="BA406" s="1"/>
  <c r="AZ406" s="1"/>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X404"/>
  <c r="AW404"/>
  <c r="AV404"/>
  <c r="AC404"/>
  <c r="H404"/>
  <c r="G404" s="1"/>
  <c r="BT403"/>
  <c r="BS403"/>
  <c r="BR403"/>
  <c r="BQ403"/>
  <c r="BP403"/>
  <c r="BO403"/>
  <c r="BN403"/>
  <c r="BM403"/>
  <c r="BL403"/>
  <c r="BK403"/>
  <c r="BJ403"/>
  <c r="BI403"/>
  <c r="BH403"/>
  <c r="BG403"/>
  <c r="BF403"/>
  <c r="BE403"/>
  <c r="BD403"/>
  <c r="BC403"/>
  <c r="BB403"/>
  <c r="BA403"/>
  <c r="AZ403" s="1"/>
  <c r="AX403"/>
  <c r="AW403"/>
  <c r="AV403"/>
  <c r="AC403"/>
  <c r="H403"/>
  <c r="G403"/>
  <c r="BT402"/>
  <c r="BS402"/>
  <c r="BR402"/>
  <c r="BQ402"/>
  <c r="BP402"/>
  <c r="BO402"/>
  <c r="BN402"/>
  <c r="BM402"/>
  <c r="BL402" s="1"/>
  <c r="BK402"/>
  <c r="BJ402"/>
  <c r="BI402"/>
  <c r="BH402"/>
  <c r="BG402"/>
  <c r="BF402"/>
  <c r="BE402"/>
  <c r="BD402"/>
  <c r="BC402"/>
  <c r="BB402"/>
  <c r="BA402" s="1"/>
  <c r="AZ402" s="1"/>
  <c r="AX402"/>
  <c r="AW402"/>
  <c r="AV402"/>
  <c r="AC402"/>
  <c r="H402"/>
  <c r="G402" s="1"/>
  <c r="BT401"/>
  <c r="BS401"/>
  <c r="BR401"/>
  <c r="BQ401"/>
  <c r="BP401"/>
  <c r="BO401"/>
  <c r="BN401"/>
  <c r="BM401"/>
  <c r="BL401"/>
  <c r="BK401"/>
  <c r="BJ401"/>
  <c r="BI401"/>
  <c r="BH401"/>
  <c r="BG401"/>
  <c r="BF401"/>
  <c r="BE401"/>
  <c r="BD401"/>
  <c r="BC401"/>
  <c r="BB401"/>
  <c r="BA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s="1"/>
  <c r="BT398"/>
  <c r="BS398"/>
  <c r="BR398"/>
  <c r="BQ398"/>
  <c r="BP398"/>
  <c r="BO398"/>
  <c r="BN398"/>
  <c r="BM398"/>
  <c r="BL398"/>
  <c r="BK398"/>
  <c r="BJ398"/>
  <c r="BI398"/>
  <c r="BH398"/>
  <c r="BG398"/>
  <c r="BF398"/>
  <c r="BE398"/>
  <c r="BD398"/>
  <c r="BC398"/>
  <c r="BB398"/>
  <c r="BA398" s="1"/>
  <c r="AZ398" s="1"/>
  <c r="AX398"/>
  <c r="AW398"/>
  <c r="AV398"/>
  <c r="AC398"/>
  <c r="H398"/>
  <c r="G398"/>
  <c r="H60" i="40"/>
  <c r="I60" s="1"/>
  <c r="C60" s="1"/>
  <c r="H59"/>
  <c r="I59"/>
  <c r="C59" s="1"/>
  <c r="H58"/>
  <c r="I58" s="1"/>
  <c r="C58" s="1"/>
  <c r="H57"/>
  <c r="I57"/>
  <c r="C57" s="1"/>
  <c r="H56"/>
  <c r="I56" s="1"/>
  <c r="C56" s="1"/>
  <c r="H55"/>
  <c r="I55"/>
  <c r="C55" s="1"/>
  <c r="H54"/>
  <c r="I54" s="1"/>
  <c r="C54" s="1"/>
  <c r="H53"/>
  <c r="I53"/>
  <c r="C53" s="1"/>
  <c r="H52"/>
  <c r="I52" s="1"/>
  <c r="C52" s="1"/>
  <c r="H65" i="39"/>
  <c r="I65"/>
  <c r="C65" s="1"/>
  <c r="H64"/>
  <c r="I64" s="1"/>
  <c r="C64" s="1"/>
  <c r="H60"/>
  <c r="I60"/>
  <c r="C60" s="1"/>
  <c r="H59"/>
  <c r="I59" s="1"/>
  <c r="C59" s="1"/>
  <c r="H58"/>
  <c r="I58"/>
  <c r="C58" s="1"/>
  <c r="H57"/>
  <c r="I57" s="1"/>
  <c r="C57" s="1"/>
  <c r="H61"/>
  <c r="I61"/>
  <c r="C61" s="1"/>
  <c r="H63"/>
  <c r="I63" s="1"/>
  <c r="C63" s="1"/>
  <c r="H62"/>
  <c r="I62"/>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s="1"/>
  <c r="R258"/>
  <c r="R259"/>
  <c r="S259"/>
  <c r="R260"/>
  <c r="R261"/>
  <c r="S261" s="1"/>
  <c r="R262"/>
  <c r="R263"/>
  <c r="S263"/>
  <c r="R264"/>
  <c r="R265"/>
  <c r="S265" s="1"/>
  <c r="R266"/>
  <c r="R267"/>
  <c r="S267"/>
  <c r="R268"/>
  <c r="R269"/>
  <c r="S269" s="1"/>
  <c r="R270"/>
  <c r="R271"/>
  <c r="S271"/>
  <c r="R272"/>
  <c r="R273"/>
  <c r="S273" s="1"/>
  <c r="R274"/>
  <c r="R275"/>
  <c r="S275"/>
  <c r="R276"/>
  <c r="R277"/>
  <c r="S277" s="1"/>
  <c r="R278"/>
  <c r="R279"/>
  <c r="S279"/>
  <c r="R280"/>
  <c r="R281"/>
  <c r="S281" s="1"/>
  <c r="R282"/>
  <c r="R283"/>
  <c r="S283"/>
  <c r="R284"/>
  <c r="R285"/>
  <c r="S285" s="1"/>
  <c r="R286"/>
  <c r="R287"/>
  <c r="S287"/>
  <c r="R288"/>
  <c r="R289"/>
  <c r="S289" s="1"/>
  <c r="R290"/>
  <c r="R291"/>
  <c r="S291"/>
  <c r="R292"/>
  <c r="R293"/>
  <c r="S293" s="1"/>
  <c r="R294"/>
  <c r="R295"/>
  <c r="S295"/>
  <c r="R296"/>
  <c r="R297"/>
  <c r="S297" s="1"/>
  <c r="R298"/>
  <c r="R299"/>
  <c r="S299"/>
  <c r="R300"/>
  <c r="R301"/>
  <c r="S301" s="1"/>
  <c r="R302"/>
  <c r="R303"/>
  <c r="S303"/>
  <c r="R304"/>
  <c r="R305"/>
  <c r="S305" s="1"/>
  <c r="R306"/>
  <c r="R307"/>
  <c r="S307"/>
  <c r="R308"/>
  <c r="R309"/>
  <c r="S309" s="1"/>
  <c r="R310"/>
  <c r="R311"/>
  <c r="S311"/>
  <c r="R312"/>
  <c r="R313"/>
  <c r="S313" s="1"/>
  <c r="R314"/>
  <c r="R315"/>
  <c r="S315"/>
  <c r="R316"/>
  <c r="R317"/>
  <c r="S317" s="1"/>
  <c r="R318"/>
  <c r="R319"/>
  <c r="S319"/>
  <c r="R320"/>
  <c r="R321"/>
  <c r="S321" s="1"/>
  <c r="R322"/>
  <c r="R323"/>
  <c r="S323"/>
  <c r="R324"/>
  <c r="R325"/>
  <c r="S325" s="1"/>
  <c r="R326"/>
  <c r="R327"/>
  <c r="S327"/>
  <c r="R328"/>
  <c r="R329"/>
  <c r="S329" s="1"/>
  <c r="R330"/>
  <c r="R331"/>
  <c r="S331"/>
  <c r="R332"/>
  <c r="R333"/>
  <c r="S333" s="1"/>
  <c r="R334"/>
  <c r="R335"/>
  <c r="S335"/>
  <c r="R336"/>
  <c r="R337"/>
  <c r="S337" s="1"/>
  <c r="R338"/>
  <c r="R339"/>
  <c r="S339"/>
  <c r="R340"/>
  <c r="R341"/>
  <c r="S341" s="1"/>
  <c r="R342"/>
  <c r="R343"/>
  <c r="S343"/>
  <c r="R344"/>
  <c r="R345"/>
  <c r="S345" s="1"/>
  <c r="R346"/>
  <c r="R347"/>
  <c r="S347"/>
  <c r="R348"/>
  <c r="R349"/>
  <c r="S349" s="1"/>
  <c r="R350"/>
  <c r="R351"/>
  <c r="S351"/>
  <c r="R352"/>
  <c r="R353"/>
  <c r="S353" s="1"/>
  <c r="R354"/>
  <c r="R355"/>
  <c r="S355"/>
  <c r="R356"/>
  <c r="R357"/>
  <c r="S357" s="1"/>
  <c r="R358"/>
  <c r="R359"/>
  <c r="S359"/>
  <c r="R360"/>
  <c r="R361"/>
  <c r="S361" s="1"/>
  <c r="R362"/>
  <c r="R363"/>
  <c r="S363"/>
  <c r="R364"/>
  <c r="R365"/>
  <c r="S365" s="1"/>
  <c r="R366"/>
  <c r="R367"/>
  <c r="S367"/>
  <c r="R368"/>
  <c r="R369"/>
  <c r="S369" s="1"/>
  <c r="R370"/>
  <c r="R371"/>
  <c r="S371"/>
  <c r="R372"/>
  <c r="R373"/>
  <c r="S373" s="1"/>
  <c r="R374"/>
  <c r="R375"/>
  <c r="S375"/>
  <c r="R376"/>
  <c r="R377"/>
  <c r="S377" s="1"/>
  <c r="R378"/>
  <c r="R379"/>
  <c r="S379"/>
  <c r="R380"/>
  <c r="R381"/>
  <c r="S381" s="1"/>
  <c r="R382"/>
  <c r="R383"/>
  <c r="S383"/>
  <c r="R384"/>
  <c r="R385"/>
  <c r="S385" s="1"/>
  <c r="R386"/>
  <c r="R387"/>
  <c r="S387"/>
  <c r="R388"/>
  <c r="R389"/>
  <c r="S389" s="1"/>
  <c r="R390"/>
  <c r="R391"/>
  <c r="S391"/>
  <c r="R392"/>
  <c r="R393"/>
  <c r="S393" s="1"/>
  <c r="R394"/>
  <c r="R395"/>
  <c r="S395"/>
  <c r="R396"/>
  <c r="R397"/>
  <c r="S397" s="1"/>
  <c r="R398"/>
  <c r="R399"/>
  <c r="S399"/>
  <c r="R400"/>
  <c r="R401"/>
  <c r="S401" s="1"/>
  <c r="R402"/>
  <c r="R403"/>
  <c r="S403"/>
  <c r="R404"/>
  <c r="R405"/>
  <c r="S405" s="1"/>
  <c r="R406"/>
  <c r="R407"/>
  <c r="S407"/>
  <c r="R408"/>
  <c r="R409"/>
  <c r="S409" s="1"/>
  <c r="R410"/>
  <c r="R411"/>
  <c r="S411"/>
  <c r="R412"/>
  <c r="R413"/>
  <c r="S413" s="1"/>
  <c r="R414"/>
  <c r="R415"/>
  <c r="S415"/>
  <c r="R416"/>
  <c r="R417"/>
  <c r="S417" s="1"/>
  <c r="R418"/>
  <c r="R419"/>
  <c r="S419"/>
  <c r="R420"/>
  <c r="R421"/>
  <c r="S421" s="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K4" i="9"/>
  <c r="L22" i="4"/>
  <c r="B61" i="72"/>
  <c r="L20" i="4"/>
  <c r="A5" i="62"/>
  <c r="B72" i="72" s="1"/>
  <c r="A4" i="62"/>
  <c r="B70" i="72" s="1"/>
  <c r="F33" i="9"/>
  <c r="B13" i="53"/>
  <c r="B29" i="72" s="1"/>
  <c r="R35" i="4"/>
  <c r="Q35"/>
  <c r="P35"/>
  <c r="O35"/>
  <c r="N35"/>
  <c r="M35"/>
  <c r="L35"/>
  <c r="K34"/>
  <c r="T34" s="1"/>
  <c r="G13" i="1"/>
  <c r="G11"/>
  <c r="I15" i="4"/>
  <c r="H15"/>
  <c r="G15"/>
  <c r="E15"/>
  <c r="D15"/>
  <c r="F7" i="1"/>
  <c r="G7" s="1"/>
  <c r="L21" i="4"/>
  <c r="F19"/>
  <c r="F2" i="52"/>
  <c r="B50" i="72"/>
  <c r="D2" i="52"/>
  <c r="B46" i="72"/>
  <c r="B8" i="53"/>
  <c r="B23" i="72"/>
  <c r="L4" i="9"/>
  <c r="A24" i="51" s="1"/>
  <c r="B18" i="72" s="1"/>
  <c r="B17"/>
  <c r="B15"/>
  <c r="A3" i="51"/>
  <c r="C8" i="11"/>
  <c r="B2" i="49"/>
  <c r="B23" s="1"/>
  <c r="B40" i="48"/>
  <c r="B3" i="72" s="1"/>
  <c r="I2" i="43"/>
  <c r="N1" s="1"/>
  <c r="F35" i="4"/>
  <c r="J55" i="39" s="1"/>
  <c r="H34" i="43"/>
  <c r="H35"/>
  <c r="H36"/>
  <c r="H37"/>
  <c r="H38"/>
  <c r="H39"/>
  <c r="H33"/>
  <c r="J20"/>
  <c r="G20"/>
  <c r="C18"/>
  <c r="F15"/>
  <c r="E15"/>
  <c r="D15"/>
  <c r="C15"/>
  <c r="C10"/>
  <c r="C11" s="1"/>
  <c r="C9"/>
  <c r="A7"/>
  <c r="F33" i="15"/>
  <c r="F61" s="1"/>
  <c r="M19"/>
  <c r="BR13" i="3"/>
  <c r="M10" i="1"/>
  <c r="O10" s="1"/>
  <c r="B22"/>
  <c r="B23"/>
  <c r="B24"/>
  <c r="F34" i="11" s="1"/>
  <c r="B43" i="1"/>
  <c r="D78" i="9" s="1"/>
  <c r="BQ13" i="3"/>
  <c r="BQ14"/>
  <c r="BQ15"/>
  <c r="BQ16"/>
  <c r="BQ17"/>
  <c r="BS13"/>
  <c r="BS14"/>
  <c r="BS15"/>
  <c r="BS16"/>
  <c r="BS17"/>
  <c r="BR14"/>
  <c r="BR15"/>
  <c r="BR16"/>
  <c r="BR17"/>
  <c r="BT13"/>
  <c r="BT14"/>
  <c r="BT15"/>
  <c r="BT16"/>
  <c r="BT17"/>
  <c r="BM14"/>
  <c r="BM15"/>
  <c r="BM16"/>
  <c r="BM17"/>
  <c r="BO13"/>
  <c r="BO14"/>
  <c r="BO15"/>
  <c r="BO16"/>
  <c r="BO17"/>
  <c r="BN13"/>
  <c r="BN14"/>
  <c r="BN15"/>
  <c r="BL15" s="1"/>
  <c r="BN16"/>
  <c r="BN17"/>
  <c r="BP13"/>
  <c r="BP14"/>
  <c r="BP15"/>
  <c r="BP16"/>
  <c r="BP17"/>
  <c r="E19" i="6"/>
  <c r="E20"/>
  <c r="E21"/>
  <c r="K8" i="1"/>
  <c r="M8" s="1"/>
  <c r="O8" s="1"/>
  <c r="P8" s="1"/>
  <c r="F23" i="15"/>
  <c r="D24" s="1"/>
  <c r="M13" i="1"/>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c r="K55"/>
  <c r="F59"/>
  <c r="O55" s="1"/>
  <c r="N54"/>
  <c r="N53"/>
  <c r="E48"/>
  <c r="N52"/>
  <c r="F56"/>
  <c r="O54" s="1"/>
  <c r="D101"/>
  <c r="C101"/>
  <c r="H104"/>
  <c r="D10" i="53" s="1"/>
  <c r="B26" i="72" s="1"/>
  <c r="C30" i="40"/>
  <c r="C28"/>
  <c r="C23" i="39"/>
  <c r="C19" i="40"/>
  <c r="D27" i="9"/>
  <c r="C25"/>
  <c r="D77"/>
  <c r="E90"/>
  <c r="H77"/>
  <c r="H105"/>
  <c r="D11" i="53" s="1"/>
  <c r="B27" i="72" s="1"/>
  <c r="H106" i="9"/>
  <c r="D12" i="53"/>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L548" s="1"/>
  <c r="BR548"/>
  <c r="BS548"/>
  <c r="BT548"/>
  <c r="H549"/>
  <c r="AC549"/>
  <c r="BB549"/>
  <c r="BC549"/>
  <c r="BD549"/>
  <c r="BE549"/>
  <c r="BF549"/>
  <c r="BG549"/>
  <c r="BH549"/>
  <c r="BI549"/>
  <c r="BJ549"/>
  <c r="BK549"/>
  <c r="BM549"/>
  <c r="BN549"/>
  <c r="BO549"/>
  <c r="BP549"/>
  <c r="BR549"/>
  <c r="BS549"/>
  <c r="BT549"/>
  <c r="H550"/>
  <c r="AC550"/>
  <c r="BB550"/>
  <c r="BC550"/>
  <c r="BD550"/>
  <c r="BA550" s="1"/>
  <c r="BE550"/>
  <c r="BF550"/>
  <c r="BG550"/>
  <c r="BH550"/>
  <c r="BI550"/>
  <c r="BJ550"/>
  <c r="BK550"/>
  <c r="BM550"/>
  <c r="BL550" s="1"/>
  <c r="BN550"/>
  <c r="BO550"/>
  <c r="BP550"/>
  <c r="BQ550"/>
  <c r="BR550"/>
  <c r="BS550"/>
  <c r="BT550"/>
  <c r="H551"/>
  <c r="G551"/>
  <c r="AC551"/>
  <c r="BB551"/>
  <c r="BA551" s="1"/>
  <c r="BC551"/>
  <c r="BD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s="1"/>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c r="F99" s="1"/>
  <c r="G99" s="1"/>
  <c r="H99" s="1"/>
  <c r="I99" s="1"/>
  <c r="J99" s="1"/>
  <c r="K99" s="1"/>
  <c r="L99" s="1"/>
  <c r="M99" s="1"/>
  <c r="H42" i="34"/>
  <c r="J42"/>
  <c r="W42" s="1"/>
  <c r="F42"/>
  <c r="J38"/>
  <c r="W38"/>
  <c r="D114"/>
  <c r="F38"/>
  <c r="S38" s="1"/>
  <c r="D112"/>
  <c r="E112" s="1"/>
  <c r="F112" s="1"/>
  <c r="G112" s="1"/>
  <c r="H112" s="1"/>
  <c r="I112" s="1"/>
  <c r="J112" s="1"/>
  <c r="K112" s="1"/>
  <c r="L112" s="1"/>
  <c r="M112" s="1"/>
  <c r="F40" i="33"/>
  <c r="J41"/>
  <c r="D113"/>
  <c r="F37"/>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c r="B116"/>
  <c r="F38"/>
  <c r="AA38" s="1"/>
  <c r="D115"/>
  <c r="E115" s="1"/>
  <c r="F115" s="1"/>
  <c r="G115" s="1"/>
  <c r="H115" s="1"/>
  <c r="I115" s="1"/>
  <c r="J115" s="1"/>
  <c r="K115" s="1"/>
  <c r="L115" s="1"/>
  <c r="M115" s="1"/>
  <c r="D113"/>
  <c r="E113" s="1"/>
  <c r="F113" s="1"/>
  <c r="G113" s="1"/>
  <c r="H113" s="1"/>
  <c r="I113" s="1"/>
  <c r="J113" s="1"/>
  <c r="K113" s="1"/>
  <c r="L113" s="1"/>
  <c r="M113" s="1"/>
  <c r="D111"/>
  <c r="E111" s="1"/>
  <c r="M107"/>
  <c r="L107"/>
  <c r="K107"/>
  <c r="J107"/>
  <c r="H107"/>
  <c r="G107"/>
  <c r="F107"/>
  <c r="E107"/>
  <c r="D107"/>
  <c r="C107"/>
  <c r="B105"/>
  <c r="J33" s="1"/>
  <c r="W33" s="1"/>
  <c r="B103"/>
  <c r="J32"/>
  <c r="AC32" s="1"/>
  <c r="B101"/>
  <c r="J31" s="1"/>
  <c r="AC31" s="1"/>
  <c r="D100"/>
  <c r="E100"/>
  <c r="F100" s="1"/>
  <c r="G100" s="1"/>
  <c r="H100" s="1"/>
  <c r="I100" s="1"/>
  <c r="J100" s="1"/>
  <c r="K100" s="1"/>
  <c r="L100" s="1"/>
  <c r="M100" s="1"/>
  <c r="D98"/>
  <c r="J28"/>
  <c r="AC28" s="1"/>
  <c r="D96"/>
  <c r="E96" s="1"/>
  <c r="F96" s="1"/>
  <c r="G96" s="1"/>
  <c r="H96" s="1"/>
  <c r="I96" s="1"/>
  <c r="J96" s="1"/>
  <c r="K96" s="1"/>
  <c r="L96" s="1"/>
  <c r="M96" s="1"/>
  <c r="B95"/>
  <c r="D92"/>
  <c r="E92"/>
  <c r="F92" s="1"/>
  <c r="G92" s="1"/>
  <c r="D90"/>
  <c r="E90"/>
  <c r="F90" s="1"/>
  <c r="G90" s="1"/>
  <c r="D88"/>
  <c r="E88"/>
  <c r="D86"/>
  <c r="E86"/>
  <c r="F86" s="1"/>
  <c r="G86" s="1"/>
  <c r="D84"/>
  <c r="E84"/>
  <c r="F84" s="1"/>
  <c r="G84" s="1"/>
  <c r="B81"/>
  <c r="B79"/>
  <c r="B77"/>
  <c r="J12"/>
  <c r="M74"/>
  <c r="L74"/>
  <c r="K74"/>
  <c r="J74"/>
  <c r="I74"/>
  <c r="H74"/>
  <c r="G74"/>
  <c r="F74"/>
  <c r="E74"/>
  <c r="D74"/>
  <c r="C74"/>
  <c r="P43"/>
  <c r="P42"/>
  <c r="V41"/>
  <c r="T41"/>
  <c r="R41"/>
  <c r="P41"/>
  <c r="Q40"/>
  <c r="Z40" s="1"/>
  <c r="J40"/>
  <c r="W40" s="1"/>
  <c r="H40"/>
  <c r="AB40" s="1"/>
  <c r="F40"/>
  <c r="AA40" s="1"/>
  <c r="Q39"/>
  <c r="Z39" s="1"/>
  <c r="H39"/>
  <c r="U39" s="1"/>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c r="D107"/>
  <c r="E107" s="1"/>
  <c r="D105"/>
  <c r="E105"/>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c r="G126" s="1"/>
  <c r="H126" s="1"/>
  <c r="I126" s="1"/>
  <c r="J126" s="1"/>
  <c r="K126" s="1"/>
  <c r="L126" s="1"/>
  <c r="M126" s="1"/>
  <c r="D122"/>
  <c r="E122" s="1"/>
  <c r="F122" s="1"/>
  <c r="G122" s="1"/>
  <c r="H122" s="1"/>
  <c r="I122" s="1"/>
  <c r="J122" s="1"/>
  <c r="K122" s="1"/>
  <c r="L122" s="1"/>
  <c r="M122" s="1"/>
  <c r="H35"/>
  <c r="AB35" s="1"/>
  <c r="B104"/>
  <c r="H31" s="1"/>
  <c r="D97"/>
  <c r="J23"/>
  <c r="AC23" s="1"/>
  <c r="D95"/>
  <c r="E95" s="1"/>
  <c r="F95" s="1"/>
  <c r="D93"/>
  <c r="E93" s="1"/>
  <c r="F93" s="1"/>
  <c r="G93" s="1"/>
  <c r="D91"/>
  <c r="E91" s="1"/>
  <c r="D89"/>
  <c r="E89" s="1"/>
  <c r="F89" s="1"/>
  <c r="G89" s="1"/>
  <c r="B86"/>
  <c r="B84"/>
  <c r="B82"/>
  <c r="J12"/>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U25"/>
  <c r="B110"/>
  <c r="J39"/>
  <c r="AC39" s="1"/>
  <c r="B108"/>
  <c r="C23"/>
  <c r="C19"/>
  <c r="C17"/>
  <c r="C15"/>
  <c r="B112"/>
  <c r="D107"/>
  <c r="E107" s="1"/>
  <c r="D105"/>
  <c r="E105" s="1"/>
  <c r="D103"/>
  <c r="J35"/>
  <c r="W35"/>
  <c r="F97"/>
  <c r="E97"/>
  <c r="D97"/>
  <c r="C97"/>
  <c r="D96"/>
  <c r="E96"/>
  <c r="D94"/>
  <c r="M90"/>
  <c r="L90"/>
  <c r="K90"/>
  <c r="J90"/>
  <c r="I90"/>
  <c r="H90"/>
  <c r="G90"/>
  <c r="F90"/>
  <c r="E90"/>
  <c r="D90"/>
  <c r="C90"/>
  <c r="D89"/>
  <c r="B86"/>
  <c r="B84"/>
  <c r="H27"/>
  <c r="U27" s="1"/>
  <c r="B82"/>
  <c r="J26" s="1"/>
  <c r="D79"/>
  <c r="E79"/>
  <c r="D75"/>
  <c r="E75"/>
  <c r="D73"/>
  <c r="E73"/>
  <c r="F73" s="1"/>
  <c r="D71"/>
  <c r="H15"/>
  <c r="AB15"/>
  <c r="B68"/>
  <c r="H14"/>
  <c r="AB14" s="1"/>
  <c r="B66"/>
  <c r="H13" s="1"/>
  <c r="B64"/>
  <c r="D63"/>
  <c r="E63" s="1"/>
  <c r="M61"/>
  <c r="L61"/>
  <c r="K61"/>
  <c r="J61"/>
  <c r="I61"/>
  <c r="H61"/>
  <c r="G61"/>
  <c r="F61"/>
  <c r="E61"/>
  <c r="D61"/>
  <c r="C61"/>
  <c r="F60"/>
  <c r="G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H26"/>
  <c r="AB26" s="1"/>
  <c r="Q25"/>
  <c r="Z25" s="1"/>
  <c r="J25"/>
  <c r="AC25" s="1"/>
  <c r="F25"/>
  <c r="AA25" s="1"/>
  <c r="Q23"/>
  <c r="Z23" s="1"/>
  <c r="Q19"/>
  <c r="Z19" s="1"/>
  <c r="Q17"/>
  <c r="Z17" s="1"/>
  <c r="Q15"/>
  <c r="Z15" s="1"/>
  <c r="Q14"/>
  <c r="Z14" s="1"/>
  <c r="Q13"/>
  <c r="Z13" s="1"/>
  <c r="Q12"/>
  <c r="Z12" s="1"/>
  <c r="Q11"/>
  <c r="Z11" s="1"/>
  <c r="Q10"/>
  <c r="Z10" s="1"/>
  <c r="F10"/>
  <c r="AA10" s="1"/>
  <c r="Q9"/>
  <c r="Z9" s="1"/>
  <c r="J8"/>
  <c r="W8" s="1"/>
  <c r="H8"/>
  <c r="AB8" s="1"/>
  <c r="F8"/>
  <c r="S8" s="1"/>
  <c r="J31" i="36"/>
  <c r="AC31" s="1"/>
  <c r="H31"/>
  <c r="AB31"/>
  <c r="F31"/>
  <c r="S31"/>
  <c r="M86"/>
  <c r="L86"/>
  <c r="K86"/>
  <c r="J86"/>
  <c r="I86"/>
  <c r="H86"/>
  <c r="G86"/>
  <c r="F86"/>
  <c r="E86"/>
  <c r="D86"/>
  <c r="C86"/>
  <c r="D85"/>
  <c r="H29"/>
  <c r="D81"/>
  <c r="E81" s="1"/>
  <c r="F81" s="1"/>
  <c r="G81" s="1"/>
  <c r="H81" s="1"/>
  <c r="I81" s="1"/>
  <c r="J81" s="1"/>
  <c r="K81" s="1"/>
  <c r="L81" s="1"/>
  <c r="M81" s="1"/>
  <c r="F79"/>
  <c r="E79"/>
  <c r="D79"/>
  <c r="C79"/>
  <c r="B93"/>
  <c r="H33" s="1"/>
  <c r="B91"/>
  <c r="F32" s="1"/>
  <c r="AA32" s="1"/>
  <c r="B95"/>
  <c r="H34" s="1"/>
  <c r="D83"/>
  <c r="E83" s="1"/>
  <c r="F83" s="1"/>
  <c r="G83" s="1"/>
  <c r="H83" s="1"/>
  <c r="I83" s="1"/>
  <c r="J83" s="1"/>
  <c r="K83" s="1"/>
  <c r="L83" s="1"/>
  <c r="M83" s="1"/>
  <c r="D78"/>
  <c r="E78" s="1"/>
  <c r="F78" s="1"/>
  <c r="G78" s="1"/>
  <c r="H78" s="1"/>
  <c r="I78" s="1"/>
  <c r="J78" s="1"/>
  <c r="K78" s="1"/>
  <c r="L78" s="1"/>
  <c r="M78" s="1"/>
  <c r="B75"/>
  <c r="J25" s="1"/>
  <c r="B73"/>
  <c r="J24"/>
  <c r="AC24" s="1"/>
  <c r="B71"/>
  <c r="D70"/>
  <c r="H22"/>
  <c r="AB22" s="1"/>
  <c r="D68"/>
  <c r="E68" s="1"/>
  <c r="F68" s="1"/>
  <c r="G68" s="1"/>
  <c r="D64"/>
  <c r="E64" s="1"/>
  <c r="F64" s="1"/>
  <c r="G64" s="1"/>
  <c r="J16"/>
  <c r="W16" s="1"/>
  <c r="D62"/>
  <c r="E62" s="1"/>
  <c r="F62" s="1"/>
  <c r="G62" s="1"/>
  <c r="B59"/>
  <c r="F13" s="1"/>
  <c r="S13" s="1"/>
  <c r="B57"/>
  <c r="J12"/>
  <c r="B55"/>
  <c r="F54"/>
  <c r="G54" s="1"/>
  <c r="H54" s="1"/>
  <c r="I54" s="1"/>
  <c r="C51"/>
  <c r="P37"/>
  <c r="P36"/>
  <c r="V35"/>
  <c r="T35"/>
  <c r="R35"/>
  <c r="P35"/>
  <c r="Q34"/>
  <c r="Z34"/>
  <c r="Q33"/>
  <c r="Z33"/>
  <c r="Q32"/>
  <c r="Z32"/>
  <c r="Q31"/>
  <c r="Z31"/>
  <c r="Q30"/>
  <c r="Z30"/>
  <c r="AC30"/>
  <c r="Q29"/>
  <c r="Z29" s="1"/>
  <c r="Q28"/>
  <c r="Z28" s="1"/>
  <c r="J28"/>
  <c r="AC28" s="1"/>
  <c r="Q27"/>
  <c r="Z27" s="1"/>
  <c r="Q26"/>
  <c r="Z26" s="1"/>
  <c r="H26"/>
  <c r="AB26" s="1"/>
  <c r="Q25"/>
  <c r="Z25" s="1"/>
  <c r="Q24"/>
  <c r="Z24" s="1"/>
  <c r="H24"/>
  <c r="AB24" s="1"/>
  <c r="Q23"/>
  <c r="Z23" s="1"/>
  <c r="J23"/>
  <c r="AC23" s="1"/>
  <c r="H23"/>
  <c r="AB23" s="1"/>
  <c r="F23"/>
  <c r="AA23" s="1"/>
  <c r="Q22"/>
  <c r="Z22" s="1"/>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B99"/>
  <c r="B97"/>
  <c r="B77"/>
  <c r="B75"/>
  <c r="B73"/>
  <c r="H23"/>
  <c r="B57"/>
  <c r="B61"/>
  <c r="B59"/>
  <c r="B131" i="34"/>
  <c r="B129"/>
  <c r="J46" s="1"/>
  <c r="B127"/>
  <c r="B99"/>
  <c r="F32" s="1"/>
  <c r="B97"/>
  <c r="B95"/>
  <c r="H30" s="1"/>
  <c r="B93"/>
  <c r="B75"/>
  <c r="B73"/>
  <c r="B71"/>
  <c r="F12" s="1"/>
  <c r="B130" i="33"/>
  <c r="B128"/>
  <c r="B126"/>
  <c r="B98"/>
  <c r="F31" s="1"/>
  <c r="B96"/>
  <c r="B94"/>
  <c r="B74"/>
  <c r="B72"/>
  <c r="J13" s="1"/>
  <c r="B70"/>
  <c r="J12"/>
  <c r="D96" i="35"/>
  <c r="E96"/>
  <c r="F96" s="1"/>
  <c r="G96"/>
  <c r="D94"/>
  <c r="E94"/>
  <c r="F94" s="1"/>
  <c r="G94" s="1"/>
  <c r="H94" s="1"/>
  <c r="I94"/>
  <c r="J94" s="1"/>
  <c r="K94" s="1"/>
  <c r="L94" s="1"/>
  <c r="M94" s="1"/>
  <c r="D84"/>
  <c r="E84"/>
  <c r="F84" s="1"/>
  <c r="G84" s="1"/>
  <c r="H84" s="1"/>
  <c r="I84"/>
  <c r="J84" s="1"/>
  <c r="K84" s="1"/>
  <c r="L84" s="1"/>
  <c r="M84" s="1"/>
  <c r="D80"/>
  <c r="E80"/>
  <c r="F80" s="1"/>
  <c r="G80" s="1"/>
  <c r="H80" s="1"/>
  <c r="I80"/>
  <c r="J80" s="1"/>
  <c r="K80" s="1"/>
  <c r="L80" s="1"/>
  <c r="M80" s="1"/>
  <c r="D72"/>
  <c r="E72"/>
  <c r="F72" s="1"/>
  <c r="G72" s="1"/>
  <c r="D70"/>
  <c r="E70"/>
  <c r="F70" s="1"/>
  <c r="G70"/>
  <c r="D66"/>
  <c r="E66"/>
  <c r="F66" s="1"/>
  <c r="G66" s="1"/>
  <c r="D64"/>
  <c r="E64"/>
  <c r="F64" s="1"/>
  <c r="G64"/>
  <c r="J14"/>
  <c r="W14"/>
  <c r="F56"/>
  <c r="G56"/>
  <c r="H56" s="1"/>
  <c r="I56" s="1"/>
  <c r="C53"/>
  <c r="J9"/>
  <c r="P39"/>
  <c r="P38"/>
  <c r="V37"/>
  <c r="T37"/>
  <c r="R37"/>
  <c r="P37"/>
  <c r="Q36"/>
  <c r="Z36"/>
  <c r="Q35"/>
  <c r="Z35"/>
  <c r="Q34"/>
  <c r="Z34"/>
  <c r="Q33"/>
  <c r="Z33"/>
  <c r="Q32"/>
  <c r="Z32"/>
  <c r="H32"/>
  <c r="AB32"/>
  <c r="F32"/>
  <c r="AA32"/>
  <c r="Q31"/>
  <c r="Z31"/>
  <c r="AC31"/>
  <c r="AB31"/>
  <c r="AA31"/>
  <c r="Q30"/>
  <c r="Z30" s="1"/>
  <c r="Q29"/>
  <c r="Z29" s="1"/>
  <c r="Q28"/>
  <c r="Z28" s="1"/>
  <c r="J28"/>
  <c r="H28"/>
  <c r="AB28" s="1"/>
  <c r="F28"/>
  <c r="AA28" s="1"/>
  <c r="Q27"/>
  <c r="Z27" s="1"/>
  <c r="Q26"/>
  <c r="Z26" s="1"/>
  <c r="Q25"/>
  <c r="Z25" s="1"/>
  <c r="Q24"/>
  <c r="Z24" s="1"/>
  <c r="Q23"/>
  <c r="Z23" s="1"/>
  <c r="J23"/>
  <c r="AC23" s="1"/>
  <c r="Q22"/>
  <c r="Z22" s="1"/>
  <c r="Q20"/>
  <c r="Z20" s="1"/>
  <c r="Q16"/>
  <c r="Z16" s="1"/>
  <c r="Q14"/>
  <c r="Z14" s="1"/>
  <c r="Q13"/>
  <c r="Z13" s="1"/>
  <c r="Q12"/>
  <c r="Z12" s="1"/>
  <c r="J12"/>
  <c r="W12" s="1"/>
  <c r="H12"/>
  <c r="F12"/>
  <c r="Q11"/>
  <c r="Z11" s="1"/>
  <c r="Q10"/>
  <c r="Z10" s="1"/>
  <c r="Q9"/>
  <c r="Z9" s="1"/>
  <c r="J8"/>
  <c r="H8"/>
  <c r="F8"/>
  <c r="AA8" s="1"/>
  <c r="D120" i="34"/>
  <c r="E120" s="1"/>
  <c r="F120" s="1"/>
  <c r="G120" s="1"/>
  <c r="H120" s="1"/>
  <c r="I120" s="1"/>
  <c r="J120" s="1"/>
  <c r="K120" s="1"/>
  <c r="L120" s="1"/>
  <c r="M120" s="1"/>
  <c r="D90"/>
  <c r="E90" s="1"/>
  <c r="F90"/>
  <c r="G90" s="1"/>
  <c r="H90" s="1"/>
  <c r="I90" s="1"/>
  <c r="J90" s="1"/>
  <c r="K90" s="1"/>
  <c r="L90" s="1"/>
  <c r="M90" s="1"/>
  <c r="C15"/>
  <c r="F67"/>
  <c r="G67"/>
  <c r="H67" s="1"/>
  <c r="I67" s="1"/>
  <c r="D126"/>
  <c r="E126"/>
  <c r="F126" s="1"/>
  <c r="G126" s="1"/>
  <c r="D124"/>
  <c r="E124"/>
  <c r="F124" s="1"/>
  <c r="G124"/>
  <c r="H124" s="1"/>
  <c r="I124" s="1"/>
  <c r="J124" s="1"/>
  <c r="K124"/>
  <c r="L124" s="1"/>
  <c r="M124" s="1"/>
  <c r="H43"/>
  <c r="AB43"/>
  <c r="D118"/>
  <c r="E118"/>
  <c r="F118" s="1"/>
  <c r="G118"/>
  <c r="D116"/>
  <c r="E116"/>
  <c r="F116" s="1"/>
  <c r="G116" s="1"/>
  <c r="H116" s="1"/>
  <c r="I116"/>
  <c r="J116" s="1"/>
  <c r="K116" s="1"/>
  <c r="L116" s="1"/>
  <c r="M116" s="1"/>
  <c r="F110"/>
  <c r="E110"/>
  <c r="D110"/>
  <c r="C110"/>
  <c r="D109"/>
  <c r="E109"/>
  <c r="F109" s="1"/>
  <c r="G109" s="1"/>
  <c r="H109" s="1"/>
  <c r="I109"/>
  <c r="J109" s="1"/>
  <c r="K109" s="1"/>
  <c r="L109" s="1"/>
  <c r="M109" s="1"/>
  <c r="D107"/>
  <c r="E107"/>
  <c r="F107" s="1"/>
  <c r="G107" s="1"/>
  <c r="H107" s="1"/>
  <c r="I107"/>
  <c r="J107" s="1"/>
  <c r="K107" s="1"/>
  <c r="L107" s="1"/>
  <c r="M107" s="1"/>
  <c r="F35"/>
  <c r="AA35"/>
  <c r="M103"/>
  <c r="L103"/>
  <c r="K103"/>
  <c r="J103"/>
  <c r="I103"/>
  <c r="H103"/>
  <c r="G103"/>
  <c r="F103"/>
  <c r="E103"/>
  <c r="D103"/>
  <c r="C103"/>
  <c r="D102"/>
  <c r="E102" s="1"/>
  <c r="F102" s="1"/>
  <c r="G102" s="1"/>
  <c r="H102"/>
  <c r="I102" s="1"/>
  <c r="J102" s="1"/>
  <c r="K102" s="1"/>
  <c r="L102" s="1"/>
  <c r="M102" s="1"/>
  <c r="D92"/>
  <c r="E92" s="1"/>
  <c r="F92"/>
  <c r="G92" s="1"/>
  <c r="H92" s="1"/>
  <c r="I92" s="1"/>
  <c r="J92"/>
  <c r="K92" s="1"/>
  <c r="L92" s="1"/>
  <c r="M92" s="1"/>
  <c r="B91"/>
  <c r="B89"/>
  <c r="J27"/>
  <c r="AC27" s="1"/>
  <c r="D88"/>
  <c r="E88"/>
  <c r="F88" s="1"/>
  <c r="G88" s="1"/>
  <c r="H88" s="1"/>
  <c r="I88"/>
  <c r="J88" s="1"/>
  <c r="K88" s="1"/>
  <c r="L88" s="1"/>
  <c r="M88" s="1"/>
  <c r="D86"/>
  <c r="E86"/>
  <c r="F86" s="1"/>
  <c r="G86" s="1"/>
  <c r="D82"/>
  <c r="E82"/>
  <c r="F82" s="1"/>
  <c r="G82"/>
  <c r="D80"/>
  <c r="E80"/>
  <c r="F80" s="1"/>
  <c r="G80" s="1"/>
  <c r="D78"/>
  <c r="E78"/>
  <c r="F78" s="1"/>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s="1"/>
  <c r="C19"/>
  <c r="Q17"/>
  <c r="Z17"/>
  <c r="C17"/>
  <c r="Q15"/>
  <c r="Z15" s="1"/>
  <c r="Q14"/>
  <c r="Z14" s="1"/>
  <c r="Q13"/>
  <c r="Z13" s="1"/>
  <c r="Q12"/>
  <c r="Z12" s="1"/>
  <c r="J12"/>
  <c r="H12"/>
  <c r="U12" s="1"/>
  <c r="S12"/>
  <c r="Q11"/>
  <c r="Z11"/>
  <c r="Q10"/>
  <c r="Z10"/>
  <c r="F10"/>
  <c r="AA10"/>
  <c r="Q9"/>
  <c r="Z9"/>
  <c r="J8"/>
  <c r="AC8" s="1"/>
  <c r="H8"/>
  <c r="U8" s="1"/>
  <c r="F8"/>
  <c r="S8" s="1"/>
  <c r="D121" i="33"/>
  <c r="E121"/>
  <c r="F121" s="1"/>
  <c r="F109"/>
  <c r="E109"/>
  <c r="D109"/>
  <c r="C109"/>
  <c r="D91"/>
  <c r="E91"/>
  <c r="B88"/>
  <c r="J26"/>
  <c r="W26" s="1"/>
  <c r="C23"/>
  <c r="C19"/>
  <c r="C17"/>
  <c r="C15"/>
  <c r="C15" i="21"/>
  <c r="D125" i="33"/>
  <c r="E125" s="1"/>
  <c r="F125" s="1"/>
  <c r="G125" s="1"/>
  <c r="D123"/>
  <c r="D117"/>
  <c r="E117" s="1"/>
  <c r="F117" s="1"/>
  <c r="G117" s="1"/>
  <c r="D115"/>
  <c r="E115" s="1"/>
  <c r="F115" s="1"/>
  <c r="G115" s="1"/>
  <c r="H115"/>
  <c r="I115" s="1"/>
  <c r="J115" s="1"/>
  <c r="K115" s="1"/>
  <c r="L115" s="1"/>
  <c r="M115" s="1"/>
  <c r="D108"/>
  <c r="E108" s="1"/>
  <c r="F108"/>
  <c r="G108" s="1"/>
  <c r="D106"/>
  <c r="E106"/>
  <c r="F106" s="1"/>
  <c r="M102"/>
  <c r="L102"/>
  <c r="K102"/>
  <c r="J102"/>
  <c r="I102"/>
  <c r="H102"/>
  <c r="G102"/>
  <c r="F102"/>
  <c r="E102"/>
  <c r="D102"/>
  <c r="C102"/>
  <c r="D101"/>
  <c r="E101" s="1"/>
  <c r="B92"/>
  <c r="B90"/>
  <c r="D87"/>
  <c r="E87" s="1"/>
  <c r="D85"/>
  <c r="E85" s="1"/>
  <c r="D81"/>
  <c r="E81" s="1"/>
  <c r="D79"/>
  <c r="E79" s="1"/>
  <c r="F79" s="1"/>
  <c r="G79" s="1"/>
  <c r="D77"/>
  <c r="E77" s="1"/>
  <c r="F77"/>
  <c r="G77" s="1"/>
  <c r="D69"/>
  <c r="E69" s="1"/>
  <c r="F69"/>
  <c r="G69" s="1"/>
  <c r="H69" s="1"/>
  <c r="I69" s="1"/>
  <c r="J69"/>
  <c r="K69" s="1"/>
  <c r="L69" s="1"/>
  <c r="M69" s="1"/>
  <c r="M67"/>
  <c r="L67"/>
  <c r="K67"/>
  <c r="J67"/>
  <c r="I67"/>
  <c r="H67"/>
  <c r="G67"/>
  <c r="F67"/>
  <c r="E67"/>
  <c r="D67"/>
  <c r="C67"/>
  <c r="G66"/>
  <c r="H66"/>
  <c r="I66" s="1"/>
  <c r="C63"/>
  <c r="H54"/>
  <c r="F54"/>
  <c r="P49"/>
  <c r="P48"/>
  <c r="V47"/>
  <c r="T47"/>
  <c r="R47"/>
  <c r="P47"/>
  <c r="Q46"/>
  <c r="Z46" s="1"/>
  <c r="Q45"/>
  <c r="Z45" s="1"/>
  <c r="Q44"/>
  <c r="Z44" s="1"/>
  <c r="Q43"/>
  <c r="Z43" s="1"/>
  <c r="Q42"/>
  <c r="Z42" s="1"/>
  <c r="J42"/>
  <c r="AC42" s="1"/>
  <c r="AC41"/>
  <c r="W41"/>
  <c r="Q41"/>
  <c r="Z41" s="1"/>
  <c r="Q40"/>
  <c r="Z40" s="1"/>
  <c r="J40"/>
  <c r="H40"/>
  <c r="AB40" s="1"/>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G18" i="20"/>
  <c r="B88" i="43" s="1"/>
  <c r="G19" i="20"/>
  <c r="G16"/>
  <c r="B82" i="43" s="1"/>
  <c r="G15" i="20"/>
  <c r="C24"/>
  <c r="B73" i="43" s="1"/>
  <c r="C21" i="20"/>
  <c r="C20"/>
  <c r="C18"/>
  <c r="C17"/>
  <c r="B59" i="43" s="1"/>
  <c r="C16" i="20"/>
  <c r="C17" i="39" s="1"/>
  <c r="C15" i="20"/>
  <c r="B70" i="43" s="1"/>
  <c r="E54" i="21"/>
  <c r="F54" s="1"/>
  <c r="I54"/>
  <c r="J54" s="1"/>
  <c r="G54"/>
  <c r="H54" s="1"/>
  <c r="D125"/>
  <c r="E125" s="1"/>
  <c r="F125"/>
  <c r="G125" s="1"/>
  <c r="D123"/>
  <c r="E123" s="1"/>
  <c r="F123"/>
  <c r="G123" s="1"/>
  <c r="H123" s="1"/>
  <c r="F42"/>
  <c r="AA42"/>
  <c r="D119"/>
  <c r="F40"/>
  <c r="D117"/>
  <c r="E117" s="1"/>
  <c r="F117"/>
  <c r="G117" s="1"/>
  <c r="D115"/>
  <c r="E115" s="1"/>
  <c r="F115"/>
  <c r="G115" s="1"/>
  <c r="H115" s="1"/>
  <c r="I115" s="1"/>
  <c r="J115"/>
  <c r="K115" s="1"/>
  <c r="L115" s="1"/>
  <c r="M115" s="1"/>
  <c r="D113"/>
  <c r="E113" s="1"/>
  <c r="F113" s="1"/>
  <c r="G113" s="1"/>
  <c r="H113"/>
  <c r="D110"/>
  <c r="E110"/>
  <c r="F110" s="1"/>
  <c r="G110" s="1"/>
  <c r="H110" s="1"/>
  <c r="I110" s="1"/>
  <c r="J110" s="1"/>
  <c r="K110" s="1"/>
  <c r="L110" s="1"/>
  <c r="M110" s="1"/>
  <c r="J36"/>
  <c r="AC36"/>
  <c r="D108"/>
  <c r="E108"/>
  <c r="F108" s="1"/>
  <c r="G108" s="1"/>
  <c r="H108" s="1"/>
  <c r="I108" s="1"/>
  <c r="J108" s="1"/>
  <c r="K108" s="1"/>
  <c r="L108" s="1"/>
  <c r="M108" s="1"/>
  <c r="D106"/>
  <c r="E106"/>
  <c r="F106" s="1"/>
  <c r="G106" s="1"/>
  <c r="H106" s="1"/>
  <c r="I106" s="1"/>
  <c r="J106" s="1"/>
  <c r="K106" s="1"/>
  <c r="L106" s="1"/>
  <c r="M106" s="1"/>
  <c r="D101"/>
  <c r="E101"/>
  <c r="F101" s="1"/>
  <c r="G101" s="1"/>
  <c r="H101" s="1"/>
  <c r="I101" s="1"/>
  <c r="J101" s="1"/>
  <c r="K101" s="1"/>
  <c r="L101" s="1"/>
  <c r="M101" s="1"/>
  <c r="D89"/>
  <c r="E89" s="1"/>
  <c r="F89" s="1"/>
  <c r="G89" s="1"/>
  <c r="H89"/>
  <c r="I89" s="1"/>
  <c r="J89" s="1"/>
  <c r="K89" s="1"/>
  <c r="L89" s="1"/>
  <c r="M89" s="1"/>
  <c r="D67"/>
  <c r="E67"/>
  <c r="F67"/>
  <c r="G67"/>
  <c r="H67"/>
  <c r="I67"/>
  <c r="J67"/>
  <c r="K67"/>
  <c r="L67"/>
  <c r="M67"/>
  <c r="C67"/>
  <c r="D69"/>
  <c r="E69"/>
  <c r="F69" s="1"/>
  <c r="G69"/>
  <c r="H69" s="1"/>
  <c r="I69" s="1"/>
  <c r="J69" s="1"/>
  <c r="K69"/>
  <c r="L69" s="1"/>
  <c r="M69" s="1"/>
  <c r="D66"/>
  <c r="E66"/>
  <c r="F66" s="1"/>
  <c r="G66"/>
  <c r="H66" s="1"/>
  <c r="I66" s="1"/>
  <c r="D111"/>
  <c r="E111"/>
  <c r="F111"/>
  <c r="C111"/>
  <c r="D79"/>
  <c r="E79"/>
  <c r="F79" s="1"/>
  <c r="G79"/>
  <c r="D85"/>
  <c r="F19"/>
  <c r="E81"/>
  <c r="F81" s="1"/>
  <c r="G81"/>
  <c r="D77"/>
  <c r="E77"/>
  <c r="B130"/>
  <c r="B128"/>
  <c r="B126"/>
  <c r="B98"/>
  <c r="B96"/>
  <c r="B94"/>
  <c r="J29"/>
  <c r="AC29" s="1"/>
  <c r="B92"/>
  <c r="B90"/>
  <c r="J27"/>
  <c r="W27" s="1"/>
  <c r="B74"/>
  <c r="B72"/>
  <c r="H13"/>
  <c r="AB13" s="1"/>
  <c r="B70"/>
  <c r="F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I4" i="6"/>
  <c r="G3" i="43" s="1"/>
  <c r="F22" s="1"/>
  <c r="J5" i="3"/>
  <c r="BE10"/>
  <c r="BB585"/>
  <c r="BC585"/>
  <c r="BD585"/>
  <c r="BD5" s="1"/>
  <c r="BE585"/>
  <c r="BF585"/>
  <c r="BG585"/>
  <c r="BH585"/>
  <c r="BH5" s="1"/>
  <c r="BI585"/>
  <c r="BJ585"/>
  <c r="BK585"/>
  <c r="BM585"/>
  <c r="BN585"/>
  <c r="BO585"/>
  <c r="BO5" s="1"/>
  <c r="BP585"/>
  <c r="BQ585"/>
  <c r="BR585"/>
  <c r="BS585"/>
  <c r="BT585"/>
  <c r="BB586"/>
  <c r="BC586"/>
  <c r="BD586"/>
  <c r="BE586"/>
  <c r="BF586"/>
  <c r="BG586"/>
  <c r="BH586"/>
  <c r="BI586"/>
  <c r="BJ586"/>
  <c r="BK586"/>
  <c r="BM586"/>
  <c r="BN586"/>
  <c r="BN5" s="1"/>
  <c r="BO586"/>
  <c r="BP586"/>
  <c r="BQ586"/>
  <c r="BR586"/>
  <c r="BS586"/>
  <c r="BT586"/>
  <c r="BB587"/>
  <c r="BC587"/>
  <c r="BA587" s="1"/>
  <c r="BD587"/>
  <c r="BE587"/>
  <c r="BE5" s="1"/>
  <c r="BF587"/>
  <c r="BG587"/>
  <c r="BG5" s="1"/>
  <c r="BH587"/>
  <c r="BI587"/>
  <c r="BI5" s="1"/>
  <c r="BJ587"/>
  <c r="BK587"/>
  <c r="BM587"/>
  <c r="BN587"/>
  <c r="BL587" s="1"/>
  <c r="BO587"/>
  <c r="BP587"/>
  <c r="BQ587"/>
  <c r="BR587"/>
  <c r="BS587"/>
  <c r="BT587"/>
  <c r="AC585"/>
  <c r="AC586"/>
  <c r="AC5" s="1"/>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J12"/>
  <c r="AC12" s="1"/>
  <c r="H12"/>
  <c r="J26"/>
  <c r="W26" s="1"/>
  <c r="F26"/>
  <c r="AB41"/>
  <c r="S41"/>
  <c r="AA41"/>
  <c r="J44" i="39"/>
  <c r="AC44"/>
  <c r="F36"/>
  <c r="S36"/>
  <c r="H36"/>
  <c r="AB36"/>
  <c r="J35"/>
  <c r="AC35"/>
  <c r="F35"/>
  <c r="AA35"/>
  <c r="J36"/>
  <c r="AC36"/>
  <c r="W40"/>
  <c r="W25" i="37"/>
  <c r="U30"/>
  <c r="W31"/>
  <c r="E103"/>
  <c r="F103" s="1"/>
  <c r="G103" s="1"/>
  <c r="H103" s="1"/>
  <c r="I103"/>
  <c r="J103" s="1"/>
  <c r="K103" s="1"/>
  <c r="L103" s="1"/>
  <c r="M103" s="1"/>
  <c r="F39"/>
  <c r="S39"/>
  <c r="U14"/>
  <c r="F29" i="36"/>
  <c r="AA29" s="1"/>
  <c r="W8"/>
  <c r="F16"/>
  <c r="AA16"/>
  <c r="W28"/>
  <c r="S30"/>
  <c r="AA31"/>
  <c r="W31"/>
  <c r="U31"/>
  <c r="J33"/>
  <c r="H22" i="35"/>
  <c r="AB22" s="1"/>
  <c r="AC27"/>
  <c r="U31"/>
  <c r="W22"/>
  <c r="S31"/>
  <c r="F36" i="34"/>
  <c r="J35"/>
  <c r="AC35" s="1"/>
  <c r="S34"/>
  <c r="U34"/>
  <c r="H39" i="33"/>
  <c r="AB39" s="1"/>
  <c r="F26"/>
  <c r="S9"/>
  <c r="U33"/>
  <c r="U35"/>
  <c r="S40"/>
  <c r="W33"/>
  <c r="W39"/>
  <c r="H39" i="37"/>
  <c r="AB39" s="1"/>
  <c r="S27" i="35"/>
  <c r="F11" i="40"/>
  <c r="AA11"/>
  <c r="H11"/>
  <c r="AB11"/>
  <c r="W8"/>
  <c r="AB39"/>
  <c r="AC40"/>
  <c r="AA9"/>
  <c r="AC9"/>
  <c r="U9"/>
  <c r="S34"/>
  <c r="U38"/>
  <c r="S40"/>
  <c r="W31"/>
  <c r="U34"/>
  <c r="S38"/>
  <c r="U40"/>
  <c r="F42" i="39"/>
  <c r="AA42" s="1"/>
  <c r="F41"/>
  <c r="S41" s="1"/>
  <c r="H40"/>
  <c r="H39"/>
  <c r="U39" s="1"/>
  <c r="S38"/>
  <c r="S34"/>
  <c r="H34"/>
  <c r="E109"/>
  <c r="AB31"/>
  <c r="E101"/>
  <c r="H19"/>
  <c r="AB19" s="1"/>
  <c r="F19"/>
  <c r="J23" i="40"/>
  <c r="AC23" s="1"/>
  <c r="F21"/>
  <c r="J21"/>
  <c r="W21" s="1"/>
  <c r="H42" i="39"/>
  <c r="AB42" s="1"/>
  <c r="J34"/>
  <c r="AC34" s="1"/>
  <c r="F109"/>
  <c r="G109" s="1"/>
  <c r="H109" s="1"/>
  <c r="I109" s="1"/>
  <c r="J109"/>
  <c r="K109" s="1"/>
  <c r="L109" s="1"/>
  <c r="M109" s="1"/>
  <c r="F101"/>
  <c r="H27"/>
  <c r="J19"/>
  <c r="AC19" s="1"/>
  <c r="J27"/>
  <c r="AC27" s="1"/>
  <c r="F27"/>
  <c r="AA27" s="1"/>
  <c r="F11" i="21"/>
  <c r="S11" s="1"/>
  <c r="U34"/>
  <c r="S34"/>
  <c r="C27" i="39"/>
  <c r="S40"/>
  <c r="C15"/>
  <c r="H32" i="33"/>
  <c r="AB32"/>
  <c r="H11" i="21"/>
  <c r="U11"/>
  <c r="J11"/>
  <c r="W11"/>
  <c r="H37" i="40"/>
  <c r="U37"/>
  <c r="H36"/>
  <c r="AB36"/>
  <c r="F35"/>
  <c r="AA35"/>
  <c r="H23"/>
  <c r="AB23"/>
  <c r="H17"/>
  <c r="U17"/>
  <c r="J15"/>
  <c r="W15"/>
  <c r="J11"/>
  <c r="W11"/>
  <c r="AB8" i="39"/>
  <c r="AB12" i="33"/>
  <c r="AA12" i="34"/>
  <c r="AB12" i="36"/>
  <c r="W32" i="40"/>
  <c r="S44" i="39"/>
  <c r="F37"/>
  <c r="AA37"/>
  <c r="U30" i="36"/>
  <c r="J30" i="35"/>
  <c r="W30" s="1"/>
  <c r="H30"/>
  <c r="F22"/>
  <c r="H10"/>
  <c r="U10" s="1"/>
  <c r="AC16" i="36"/>
  <c r="W30"/>
  <c r="H16"/>
  <c r="AB16" s="1"/>
  <c r="E85"/>
  <c r="F85" s="1"/>
  <c r="G85" s="1"/>
  <c r="H85" s="1"/>
  <c r="I85"/>
  <c r="J85" s="1"/>
  <c r="K85" s="1"/>
  <c r="L85" s="1"/>
  <c r="M85" s="1"/>
  <c r="J29"/>
  <c r="AC29"/>
  <c r="F12"/>
  <c r="F24"/>
  <c r="AA24" s="1"/>
  <c r="F34"/>
  <c r="S34" s="1"/>
  <c r="S10"/>
  <c r="S8"/>
  <c r="F14" i="35"/>
  <c r="AA14" s="1"/>
  <c r="F23"/>
  <c r="AA23" s="1"/>
  <c r="J32"/>
  <c r="J16"/>
  <c r="AC16" s="1"/>
  <c r="H16"/>
  <c r="F16"/>
  <c r="S16" s="1"/>
  <c r="H14"/>
  <c r="AB14" s="1"/>
  <c r="J29"/>
  <c r="H33"/>
  <c r="AB33"/>
  <c r="J20"/>
  <c r="W20" s="1"/>
  <c r="F35" i="37"/>
  <c r="S35" s="1"/>
  <c r="E101"/>
  <c r="F101" s="1"/>
  <c r="G101" s="1"/>
  <c r="H101" s="1"/>
  <c r="I101"/>
  <c r="J101" s="1"/>
  <c r="K101" s="1"/>
  <c r="L101" s="1"/>
  <c r="M101" s="1"/>
  <c r="J34"/>
  <c r="W34"/>
  <c r="AA39"/>
  <c r="AB34"/>
  <c r="J33"/>
  <c r="AC33" s="1"/>
  <c r="U42" i="34"/>
  <c r="H40"/>
  <c r="U40"/>
  <c r="E114"/>
  <c r="H36"/>
  <c r="U36" s="1"/>
  <c r="F37"/>
  <c r="AA37" s="1"/>
  <c r="S35"/>
  <c r="F27"/>
  <c r="AA27"/>
  <c r="F25"/>
  <c r="S25"/>
  <c r="H23"/>
  <c r="U23"/>
  <c r="J23"/>
  <c r="F19"/>
  <c r="H17"/>
  <c r="U17"/>
  <c r="F15"/>
  <c r="J15"/>
  <c r="AC15" s="1"/>
  <c r="H15"/>
  <c r="AB15"/>
  <c r="W8"/>
  <c r="F41" i="33"/>
  <c r="AA41"/>
  <c r="S38"/>
  <c r="E113"/>
  <c r="F113" s="1"/>
  <c r="F32"/>
  <c r="AA32"/>
  <c r="J19"/>
  <c r="AC19"/>
  <c r="J15"/>
  <c r="AC15"/>
  <c r="F11"/>
  <c r="AA11"/>
  <c r="U40"/>
  <c r="U8"/>
  <c r="S8"/>
  <c r="F37" i="40"/>
  <c r="AA37" s="1"/>
  <c r="F36"/>
  <c r="H28"/>
  <c r="U28" s="1"/>
  <c r="F23"/>
  <c r="F17"/>
  <c r="AA17" s="1"/>
  <c r="J17"/>
  <c r="W17" s="1"/>
  <c r="F15"/>
  <c r="S15" s="1"/>
  <c r="H15"/>
  <c r="AB15" s="1"/>
  <c r="AC11"/>
  <c r="S12" i="36"/>
  <c r="AA12"/>
  <c r="AB30"/>
  <c r="U33" i="35"/>
  <c r="F29"/>
  <c r="S29"/>
  <c r="H29"/>
  <c r="AB29"/>
  <c r="H33" i="37"/>
  <c r="AB33"/>
  <c r="F33"/>
  <c r="AA33"/>
  <c r="U34"/>
  <c r="W33"/>
  <c r="S34"/>
  <c r="AA34"/>
  <c r="J43" i="34"/>
  <c r="AB42"/>
  <c r="J40"/>
  <c r="F114"/>
  <c r="G114" s="1"/>
  <c r="H114" s="1"/>
  <c r="I114" s="1"/>
  <c r="J114" s="1"/>
  <c r="K114" s="1"/>
  <c r="L114" s="1"/>
  <c r="M114" s="1"/>
  <c r="H38"/>
  <c r="J36"/>
  <c r="W36" s="1"/>
  <c r="H37"/>
  <c r="H25"/>
  <c r="AB25" s="1"/>
  <c r="J25"/>
  <c r="AB23"/>
  <c r="F23"/>
  <c r="AA23"/>
  <c r="J19"/>
  <c r="AC19"/>
  <c r="F17"/>
  <c r="AA17"/>
  <c r="J17"/>
  <c r="W17"/>
  <c r="AB17"/>
  <c r="AA15"/>
  <c r="S15"/>
  <c r="S41" i="33"/>
  <c r="G113"/>
  <c r="H113" s="1"/>
  <c r="I113" s="1"/>
  <c r="J113" s="1"/>
  <c r="K113" s="1"/>
  <c r="L113" s="1"/>
  <c r="M113" s="1"/>
  <c r="H37"/>
  <c r="AB37"/>
  <c r="H15"/>
  <c r="AB15"/>
  <c r="H11"/>
  <c r="AB11"/>
  <c r="F28" i="40"/>
  <c r="AA28"/>
  <c r="AA29" i="35"/>
  <c r="AA42" i="34"/>
  <c r="S42"/>
  <c r="AC38"/>
  <c r="AA38"/>
  <c r="J37"/>
  <c r="AC37" s="1"/>
  <c r="J11" i="33"/>
  <c r="U23" i="40"/>
  <c r="I123" i="21"/>
  <c r="J123" s="1"/>
  <c r="K123" s="1"/>
  <c r="L123" s="1"/>
  <c r="M123" s="1"/>
  <c r="J42"/>
  <c r="AC42"/>
  <c r="H42"/>
  <c r="U42"/>
  <c r="J44" i="34"/>
  <c r="F44"/>
  <c r="J10" i="35"/>
  <c r="W10" s="1"/>
  <c r="J44" i="21"/>
  <c r="AC44"/>
  <c r="H44"/>
  <c r="U44"/>
  <c r="F44"/>
  <c r="AA44"/>
  <c r="H46"/>
  <c r="U46"/>
  <c r="J46"/>
  <c r="W46"/>
  <c r="F46"/>
  <c r="AA46"/>
  <c r="E119"/>
  <c r="F119"/>
  <c r="G119" s="1"/>
  <c r="H119"/>
  <c r="I119" s="1"/>
  <c r="J119" s="1"/>
  <c r="K119" s="1"/>
  <c r="L119" s="1"/>
  <c r="M119" s="1"/>
  <c r="H26" i="33"/>
  <c r="H28"/>
  <c r="F28"/>
  <c r="AA28" s="1"/>
  <c r="J28"/>
  <c r="F33" i="35"/>
  <c r="S33" s="1"/>
  <c r="J33"/>
  <c r="F30"/>
  <c r="S30" s="1"/>
  <c r="E89"/>
  <c r="F89" s="1"/>
  <c r="G89" s="1"/>
  <c r="H89" s="1"/>
  <c r="I89"/>
  <c r="J89" s="1"/>
  <c r="K89" s="1"/>
  <c r="L89" s="1"/>
  <c r="M89" s="1"/>
  <c r="H10" i="36"/>
  <c r="AB10"/>
  <c r="J14"/>
  <c r="AC14"/>
  <c r="H14"/>
  <c r="U14"/>
  <c r="F28"/>
  <c r="AA28"/>
  <c r="J13" i="21"/>
  <c r="AC13"/>
  <c r="H27"/>
  <c r="AB27"/>
  <c r="F27"/>
  <c r="AA27"/>
  <c r="H29"/>
  <c r="U29"/>
  <c r="F27" i="33"/>
  <c r="AA27"/>
  <c r="H13"/>
  <c r="AB13" s="1"/>
  <c r="F13"/>
  <c r="J29"/>
  <c r="H29"/>
  <c r="U29" s="1"/>
  <c r="F29"/>
  <c r="J31"/>
  <c r="W31" s="1"/>
  <c r="H31"/>
  <c r="H45"/>
  <c r="U45" s="1"/>
  <c r="J45"/>
  <c r="F45"/>
  <c r="J14" i="34"/>
  <c r="W14" s="1"/>
  <c r="F14"/>
  <c r="S14" s="1"/>
  <c r="H14"/>
  <c r="AB14" s="1"/>
  <c r="F30"/>
  <c r="S30" s="1"/>
  <c r="J30"/>
  <c r="H32"/>
  <c r="J32"/>
  <c r="H46"/>
  <c r="U46" s="1"/>
  <c r="F46"/>
  <c r="AA46" s="1"/>
  <c r="H11" i="35"/>
  <c r="U11" s="1"/>
  <c r="J11"/>
  <c r="F11"/>
  <c r="S11" s="1"/>
  <c r="J26" i="36"/>
  <c r="H28"/>
  <c r="U28" s="1"/>
  <c r="H32"/>
  <c r="J32"/>
  <c r="W32" s="1"/>
  <c r="J11"/>
  <c r="H11"/>
  <c r="F11"/>
  <c r="H13"/>
  <c r="AB13" s="1"/>
  <c r="J13"/>
  <c r="AC13" s="1"/>
  <c r="E89" i="37"/>
  <c r="F89"/>
  <c r="G89" s="1"/>
  <c r="H89"/>
  <c r="I89" s="1"/>
  <c r="J89" s="1"/>
  <c r="K89" s="1"/>
  <c r="L89" s="1"/>
  <c r="M89" s="1"/>
  <c r="J29"/>
  <c r="W29" s="1"/>
  <c r="F29"/>
  <c r="S29" s="1"/>
  <c r="F105"/>
  <c r="H36"/>
  <c r="AB36"/>
  <c r="F107"/>
  <c r="J37"/>
  <c r="AC37" s="1"/>
  <c r="H37"/>
  <c r="H40"/>
  <c r="U40" s="1"/>
  <c r="J40"/>
  <c r="F40"/>
  <c r="AA40" s="1"/>
  <c r="AC12" i="40"/>
  <c r="W12"/>
  <c r="H14" i="33"/>
  <c r="U14" s="1"/>
  <c r="F14"/>
  <c r="J14"/>
  <c r="W14" s="1"/>
  <c r="H30"/>
  <c r="AB30"/>
  <c r="F30"/>
  <c r="J30"/>
  <c r="W30" s="1"/>
  <c r="H44"/>
  <c r="J44"/>
  <c r="F44"/>
  <c r="J46"/>
  <c r="F46"/>
  <c r="AA46" s="1"/>
  <c r="H46"/>
  <c r="H13" i="34"/>
  <c r="J13"/>
  <c r="W13" s="1"/>
  <c r="F13"/>
  <c r="AA13" s="1"/>
  <c r="J29"/>
  <c r="W29" s="1"/>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AB13" i="37"/>
  <c r="F28"/>
  <c r="AA28"/>
  <c r="J28"/>
  <c r="AC28"/>
  <c r="H28"/>
  <c r="U28"/>
  <c r="H38"/>
  <c r="AB38"/>
  <c r="J38"/>
  <c r="AC38"/>
  <c r="F38"/>
  <c r="S38"/>
  <c r="J14" i="39"/>
  <c r="F14"/>
  <c r="H14"/>
  <c r="AB14"/>
  <c r="F12" i="40"/>
  <c r="S12"/>
  <c r="H12"/>
  <c r="AB12"/>
  <c r="H30"/>
  <c r="AB30"/>
  <c r="F33"/>
  <c r="AA33"/>
  <c r="H33"/>
  <c r="U33"/>
  <c r="J35"/>
  <c r="AC35"/>
  <c r="J37"/>
  <c r="AC37"/>
  <c r="H13"/>
  <c r="U13"/>
  <c r="J13"/>
  <c r="W13"/>
  <c r="F13"/>
  <c r="AA13"/>
  <c r="F14" i="37"/>
  <c r="S14"/>
  <c r="F27"/>
  <c r="AA27"/>
  <c r="F13" i="39"/>
  <c r="J13"/>
  <c r="W13" s="1"/>
  <c r="H13"/>
  <c r="AB13" s="1"/>
  <c r="H14" i="40"/>
  <c r="AB14"/>
  <c r="J14"/>
  <c r="W14"/>
  <c r="F14"/>
  <c r="AA14"/>
  <c r="J14" i="37"/>
  <c r="AC14"/>
  <c r="J27"/>
  <c r="AC27"/>
  <c r="AA13" i="35"/>
  <c r="U31" i="34"/>
  <c r="J36" i="37"/>
  <c r="AC36" s="1"/>
  <c r="G105"/>
  <c r="AB11" i="35"/>
  <c r="J10" i="36"/>
  <c r="AC10"/>
  <c r="AA14" i="37"/>
  <c r="W31" i="34"/>
  <c r="W13" i="36"/>
  <c r="AB46" i="34"/>
  <c r="AA14"/>
  <c r="AB45" i="33"/>
  <c r="U13"/>
  <c r="BA585" i="3"/>
  <c r="F17" i="21"/>
  <c r="AA17"/>
  <c r="H17"/>
  <c r="AB17"/>
  <c r="F15"/>
  <c r="S15"/>
  <c r="AB11"/>
  <c r="J41" i="39"/>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c r="BA580"/>
  <c r="AZ580"/>
  <c r="BA578"/>
  <c r="AZ578"/>
  <c r="BA576"/>
  <c r="AZ576"/>
  <c r="BA574"/>
  <c r="AZ574"/>
  <c r="BA572"/>
  <c r="AZ572"/>
  <c r="BA570"/>
  <c r="AZ570"/>
  <c r="BA568"/>
  <c r="AZ568"/>
  <c r="BA566"/>
  <c r="AZ566"/>
  <c r="BA564"/>
  <c r="AZ564"/>
  <c r="BA562"/>
  <c r="AZ562"/>
  <c r="BA560"/>
  <c r="BA558"/>
  <c r="BA556"/>
  <c r="AZ556" s="1"/>
  <c r="BA554"/>
  <c r="AZ554" s="1"/>
  <c r="BA552"/>
  <c r="AZ552" s="1"/>
  <c r="BA548"/>
  <c r="AZ548" s="1"/>
  <c r="BA546"/>
  <c r="BA544"/>
  <c r="AZ544" s="1"/>
  <c r="BA542"/>
  <c r="AZ542" s="1"/>
  <c r="BA540"/>
  <c r="AZ540" s="1"/>
  <c r="BA538"/>
  <c r="AZ538" s="1"/>
  <c r="BA536"/>
  <c r="AZ536" s="1"/>
  <c r="BA534"/>
  <c r="AZ534" s="1"/>
  <c r="BA532"/>
  <c r="AZ532" s="1"/>
  <c r="BA530"/>
  <c r="AZ530" s="1"/>
  <c r="BA528"/>
  <c r="AZ528"/>
  <c r="BA526"/>
  <c r="AZ526"/>
  <c r="BA524"/>
  <c r="AZ524"/>
  <c r="BA522"/>
  <c r="BA520"/>
  <c r="AZ520" s="1"/>
  <c r="BA518"/>
  <c r="AZ518"/>
  <c r="BA516"/>
  <c r="AZ516"/>
  <c r="BA514"/>
  <c r="BA512"/>
  <c r="AZ512" s="1"/>
  <c r="BA510"/>
  <c r="AZ510" s="1"/>
  <c r="BA508"/>
  <c r="BA506"/>
  <c r="BA504"/>
  <c r="AZ504" s="1"/>
  <c r="BA502"/>
  <c r="AZ502" s="1"/>
  <c r="BA500"/>
  <c r="BA498"/>
  <c r="AZ498" s="1"/>
  <c r="BA496"/>
  <c r="AZ496" s="1"/>
  <c r="BA494"/>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C557"/>
  <c r="G557"/>
  <c r="BQ557"/>
  <c r="BL557"/>
  <c r="AZ557" s="1"/>
  <c r="BQ583"/>
  <c r="BL583"/>
  <c r="BQ581"/>
  <c r="BL581" s="1"/>
  <c r="AZ581" s="1"/>
  <c r="BQ579"/>
  <c r="BL579" s="1"/>
  <c r="AZ579"/>
  <c r="BQ577"/>
  <c r="BL577"/>
  <c r="BQ575"/>
  <c r="BL575" s="1"/>
  <c r="AZ575"/>
  <c r="BQ573"/>
  <c r="BL573"/>
  <c r="BQ571"/>
  <c r="BL571" s="1"/>
  <c r="AZ571"/>
  <c r="BQ569"/>
  <c r="BL569"/>
  <c r="BQ567"/>
  <c r="BL567" s="1"/>
  <c r="AZ567"/>
  <c r="BQ565"/>
  <c r="BL565"/>
  <c r="BQ563"/>
  <c r="BL563" s="1"/>
  <c r="BQ561"/>
  <c r="BL561" s="1"/>
  <c r="AZ561" s="1"/>
  <c r="BQ559"/>
  <c r="BL559"/>
  <c r="AZ559" s="1"/>
  <c r="G559"/>
  <c r="G555"/>
  <c r="G553"/>
  <c r="G549"/>
  <c r="G547"/>
  <c r="G545"/>
  <c r="G543"/>
  <c r="G541"/>
  <c r="G539"/>
  <c r="G537"/>
  <c r="BQ555"/>
  <c r="BL555" s="1"/>
  <c r="AZ555" s="1"/>
  <c r="BQ553"/>
  <c r="BL553"/>
  <c r="AZ553" s="1"/>
  <c r="BQ551"/>
  <c r="BL551" s="1"/>
  <c r="AZ551" s="1"/>
  <c r="BQ549"/>
  <c r="BL549" s="1"/>
  <c r="BQ547"/>
  <c r="BL547"/>
  <c r="AZ547" s="1"/>
  <c r="BQ545"/>
  <c r="BL545" s="1"/>
  <c r="AZ545" s="1"/>
  <c r="BQ543"/>
  <c r="BL543"/>
  <c r="AZ543" s="1"/>
  <c r="BQ541"/>
  <c r="BL541" s="1"/>
  <c r="AZ541" s="1"/>
  <c r="BQ539"/>
  <c r="BL539"/>
  <c r="AZ539" s="1"/>
  <c r="BQ537"/>
  <c r="BL537" s="1"/>
  <c r="AZ537" s="1"/>
  <c r="BQ535"/>
  <c r="BL535"/>
  <c r="AZ535" s="1"/>
  <c r="BQ533"/>
  <c r="BL533" s="1"/>
  <c r="AZ533" s="1"/>
  <c r="BQ531"/>
  <c r="BL531"/>
  <c r="AZ531" s="1"/>
  <c r="BQ529"/>
  <c r="BL529" s="1"/>
  <c r="AZ529" s="1"/>
  <c r="BQ527"/>
  <c r="BL527"/>
  <c r="AZ527" s="1"/>
  <c r="BQ525"/>
  <c r="BL525" s="1"/>
  <c r="AZ525" s="1"/>
  <c r="BQ523"/>
  <c r="BL523"/>
  <c r="AZ523" s="1"/>
  <c r="BA521"/>
  <c r="AC521"/>
  <c r="G521" s="1"/>
  <c r="BQ521"/>
  <c r="BL521" s="1"/>
  <c r="BL520"/>
  <c r="G519"/>
  <c r="G517"/>
  <c r="G515"/>
  <c r="G513"/>
  <c r="G511"/>
  <c r="BQ519"/>
  <c r="BL519"/>
  <c r="BQ517"/>
  <c r="BL517" s="1"/>
  <c r="AZ517"/>
  <c r="BQ515"/>
  <c r="BL515"/>
  <c r="BQ513"/>
  <c r="BL513" s="1"/>
  <c r="AZ513"/>
  <c r="BQ511"/>
  <c r="BL511"/>
  <c r="BA509"/>
  <c r="AC509"/>
  <c r="BQ509"/>
  <c r="BL509" s="1"/>
  <c r="BL508"/>
  <c r="G507"/>
  <c r="G505"/>
  <c r="G503"/>
  <c r="G501"/>
  <c r="G499"/>
  <c r="G497"/>
  <c r="G495"/>
  <c r="BQ507"/>
  <c r="BL507"/>
  <c r="AZ507" s="1"/>
  <c r="BQ505"/>
  <c r="BL505" s="1"/>
  <c r="AZ505" s="1"/>
  <c r="BQ503"/>
  <c r="BL503"/>
  <c r="AZ503" s="1"/>
  <c r="BQ501"/>
  <c r="BL501" s="1"/>
  <c r="AZ501" s="1"/>
  <c r="BQ499"/>
  <c r="BL499" s="1"/>
  <c r="BQ497"/>
  <c r="BQ495"/>
  <c r="BL495" s="1"/>
  <c r="AZ495"/>
  <c r="BQ493"/>
  <c r="AZ584"/>
  <c r="S505" i="31"/>
  <c r="S503"/>
  <c r="S501"/>
  <c r="S499"/>
  <c r="O27"/>
  <c r="O28"/>
  <c r="O26"/>
  <c r="M27"/>
  <c r="M28"/>
  <c r="M26"/>
  <c r="I26"/>
  <c r="I25"/>
  <c r="S25"/>
  <c r="Q26"/>
  <c r="K26"/>
  <c r="I27"/>
  <c r="Q27"/>
  <c r="K27"/>
  <c r="I28"/>
  <c r="Q28"/>
  <c r="K28"/>
  <c r="H25" i="21"/>
  <c r="U25"/>
  <c r="F25"/>
  <c r="S25"/>
  <c r="J25"/>
  <c r="AC25"/>
  <c r="H43" i="33"/>
  <c r="AB43"/>
  <c r="H17" i="37"/>
  <c r="U17"/>
  <c r="AB27"/>
  <c r="U32" i="33"/>
  <c r="AA36" i="39"/>
  <c r="F39" i="33"/>
  <c r="E123"/>
  <c r="F42"/>
  <c r="AA42"/>
  <c r="F14" i="36"/>
  <c r="AA14"/>
  <c r="F22"/>
  <c r="S22"/>
  <c r="F26"/>
  <c r="S26"/>
  <c r="H27" i="34"/>
  <c r="AB27"/>
  <c r="H35"/>
  <c r="U35"/>
  <c r="F41"/>
  <c r="S41"/>
  <c r="H41"/>
  <c r="U41"/>
  <c r="J41"/>
  <c r="AC41"/>
  <c r="F10" i="35"/>
  <c r="S10"/>
  <c r="H23" i="37"/>
  <c r="AB23"/>
  <c r="J32"/>
  <c r="AC32"/>
  <c r="F36"/>
  <c r="AA36"/>
  <c r="F37"/>
  <c r="AA37"/>
  <c r="F31" i="40"/>
  <c r="AA31"/>
  <c r="H31"/>
  <c r="U31"/>
  <c r="F32"/>
  <c r="S32"/>
  <c r="H32"/>
  <c r="AB32"/>
  <c r="J36"/>
  <c r="W36"/>
  <c r="AA41" i="34"/>
  <c r="H19" i="37"/>
  <c r="F123" i="33"/>
  <c r="G123" s="1"/>
  <c r="H123"/>
  <c r="I123" s="1"/>
  <c r="J123" s="1"/>
  <c r="K123" s="1"/>
  <c r="L123" s="1"/>
  <c r="M123" s="1"/>
  <c r="H42"/>
  <c r="AB42" s="1"/>
  <c r="J43"/>
  <c r="AC43"/>
  <c r="U43"/>
  <c r="S28" i="31"/>
  <c r="S27"/>
  <c r="S26"/>
  <c r="U14" i="40"/>
  <c r="AC32" i="36"/>
  <c r="U35" i="35"/>
  <c r="W14" i="37"/>
  <c r="AB28"/>
  <c r="U33"/>
  <c r="U39"/>
  <c r="AC8"/>
  <c r="U26"/>
  <c r="W47" i="34"/>
  <c r="W37"/>
  <c r="AC36"/>
  <c r="AC31" i="33"/>
  <c r="U11"/>
  <c r="U19" i="21"/>
  <c r="W44"/>
  <c r="U26"/>
  <c r="AC46"/>
  <c r="AB38"/>
  <c r="F43" i="33"/>
  <c r="AA43" s="1"/>
  <c r="W15" i="34"/>
  <c r="W16" i="35"/>
  <c r="G107" i="37"/>
  <c r="H107" s="1"/>
  <c r="I107" s="1"/>
  <c r="J107" s="1"/>
  <c r="K107"/>
  <c r="L107" s="1"/>
  <c r="M107" s="1"/>
  <c r="H37" i="21"/>
  <c r="U37"/>
  <c r="S42"/>
  <c r="H19" i="34"/>
  <c r="AB19" s="1"/>
  <c r="J9" i="37"/>
  <c r="W9" s="1"/>
  <c r="H9"/>
  <c r="F9"/>
  <c r="S9" s="1"/>
  <c r="J12"/>
  <c r="H12"/>
  <c r="F12"/>
  <c r="E71"/>
  <c r="F71" s="1"/>
  <c r="F15"/>
  <c r="AA15"/>
  <c r="E94"/>
  <c r="F31"/>
  <c r="S31" s="1"/>
  <c r="F12" i="39"/>
  <c r="S12" s="1"/>
  <c r="J42"/>
  <c r="AC42" s="1"/>
  <c r="H21" i="40"/>
  <c r="F94" i="37"/>
  <c r="G94"/>
  <c r="H94" s="1"/>
  <c r="I94"/>
  <c r="J94" s="1"/>
  <c r="K94" s="1"/>
  <c r="L94" s="1"/>
  <c r="M94" s="1"/>
  <c r="H31"/>
  <c r="U31"/>
  <c r="G71"/>
  <c r="J15"/>
  <c r="W15"/>
  <c r="AT6" i="3"/>
  <c r="H5"/>
  <c r="AA25" i="21"/>
  <c r="C12" i="43"/>
  <c r="H19" i="40"/>
  <c r="U19" s="1"/>
  <c r="F88"/>
  <c r="G88" s="1"/>
  <c r="F19"/>
  <c r="S19" s="1"/>
  <c r="S14"/>
  <c r="AC13"/>
  <c r="AB33"/>
  <c r="AC43" i="39"/>
  <c r="W43"/>
  <c r="U45"/>
  <c r="AB45"/>
  <c r="AB44"/>
  <c r="U44"/>
  <c r="G101"/>
  <c r="H37"/>
  <c r="AB37" s="1"/>
  <c r="AC37"/>
  <c r="W37"/>
  <c r="H25"/>
  <c r="AB25" s="1"/>
  <c r="F25"/>
  <c r="AA25" s="1"/>
  <c r="F15"/>
  <c r="AA15" s="1"/>
  <c r="H15"/>
  <c r="U15" s="1"/>
  <c r="J15"/>
  <c r="H41"/>
  <c r="S42"/>
  <c r="AA41"/>
  <c r="W9"/>
  <c r="W8"/>
  <c r="J19" i="40"/>
  <c r="AC19"/>
  <c r="J50"/>
  <c r="B54" i="72"/>
  <c r="H103" i="9"/>
  <c r="D8" i="53"/>
  <c r="B16"/>
  <c r="B33" i="72"/>
  <c r="C7" i="37"/>
  <c r="C7" i="34"/>
  <c r="C7" i="36"/>
  <c r="W35" i="40"/>
  <c r="A4" i="52"/>
  <c r="B41" i="72" s="1"/>
  <c r="A12" i="52"/>
  <c r="B56" i="72" s="1"/>
  <c r="G4" i="4"/>
  <c r="I4"/>
  <c r="K5"/>
  <c r="B47" i="48" s="1"/>
  <c r="A2" i="9"/>
  <c r="N2" i="43"/>
  <c r="F59"/>
  <c r="AZ20" i="3"/>
  <c r="AZ24"/>
  <c r="AZ28"/>
  <c r="AZ32"/>
  <c r="AZ494"/>
  <c r="AZ514"/>
  <c r="AZ522"/>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AZ343" s="1"/>
  <c r="BA345"/>
  <c r="BL355"/>
  <c r="G356"/>
  <c r="BL357"/>
  <c r="BA359"/>
  <c r="AZ359"/>
  <c r="BA360"/>
  <c r="BL360"/>
  <c r="AZ360" s="1"/>
  <c r="G361"/>
  <c r="BA362"/>
  <c r="AZ362" s="1"/>
  <c r="G370"/>
  <c r="BL371"/>
  <c r="G372"/>
  <c r="BL373"/>
  <c r="BA375"/>
  <c r="AZ375" s="1"/>
  <c r="BA376"/>
  <c r="AZ376" s="1"/>
  <c r="BL376"/>
  <c r="G377"/>
  <c r="BA378"/>
  <c r="AZ378"/>
  <c r="BL378"/>
  <c r="G379"/>
  <c r="BA380"/>
  <c r="G388"/>
  <c r="BL389"/>
  <c r="G390"/>
  <c r="BL391"/>
  <c r="BA393"/>
  <c r="AZ393" s="1"/>
  <c r="BA394"/>
  <c r="BL394"/>
  <c r="G113"/>
  <c r="BA115"/>
  <c r="AZ115"/>
  <c r="BL116"/>
  <c r="AZ116"/>
  <c r="G117"/>
  <c r="BA119"/>
  <c r="AZ119" s="1"/>
  <c r="BL120"/>
  <c r="AZ120" s="1"/>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AZ152" s="1"/>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AZ184" s="1"/>
  <c r="G185"/>
  <c r="BA187"/>
  <c r="AZ187" s="1"/>
  <c r="BL188"/>
  <c r="AZ188"/>
  <c r="G189"/>
  <c r="BA191"/>
  <c r="AZ191" s="1"/>
  <c r="BL192"/>
  <c r="G193"/>
  <c r="BA195"/>
  <c r="AZ195" s="1"/>
  <c r="BL196"/>
  <c r="AZ196" s="1"/>
  <c r="G197"/>
  <c r="BA199"/>
  <c r="AZ199"/>
  <c r="BL200"/>
  <c r="G201"/>
  <c r="BA203"/>
  <c r="AZ203"/>
  <c r="BL204"/>
  <c r="AZ204"/>
  <c r="AZ39"/>
  <c r="AZ43"/>
  <c r="AZ47"/>
  <c r="AZ51"/>
  <c r="AZ55"/>
  <c r="AZ59"/>
  <c r="AZ63"/>
  <c r="AZ67"/>
  <c r="AZ71"/>
  <c r="AZ75"/>
  <c r="AZ79"/>
  <c r="AZ83"/>
  <c r="AZ136"/>
  <c r="AZ144"/>
  <c r="AZ160"/>
  <c r="AZ168"/>
  <c r="AZ176"/>
  <c r="AZ192"/>
  <c r="AZ200"/>
  <c r="AZ85"/>
  <c r="AZ89"/>
  <c r="AZ93"/>
  <c r="AZ97"/>
  <c r="AZ101"/>
  <c r="AZ105"/>
  <c r="AZ109"/>
  <c r="AZ128"/>
  <c r="G534"/>
  <c r="G530"/>
  <c r="G522"/>
  <c r="G516"/>
  <c r="G512"/>
  <c r="G506"/>
  <c r="G498"/>
  <c r="G494"/>
  <c r="G16"/>
  <c r="G15"/>
  <c r="BA304"/>
  <c r="AZ304"/>
  <c r="BA305"/>
  <c r="AZ305"/>
  <c r="BL305"/>
  <c r="G306"/>
  <c r="G309"/>
  <c r="BL310"/>
  <c r="AZ310" s="1"/>
  <c r="BA312"/>
  <c r="AZ312"/>
  <c r="BA313"/>
  <c r="BL313"/>
  <c r="AZ313" s="1"/>
  <c r="G314"/>
  <c r="G317"/>
  <c r="BL318"/>
  <c r="BA320"/>
  <c r="AZ320"/>
  <c r="BA321"/>
  <c r="AZ321"/>
  <c r="BL321"/>
  <c r="G322"/>
  <c r="G325"/>
  <c r="BL326"/>
  <c r="BA328"/>
  <c r="AZ328"/>
  <c r="BA329"/>
  <c r="BL329"/>
  <c r="AZ329" s="1"/>
  <c r="G330"/>
  <c r="G333"/>
  <c r="BL334"/>
  <c r="BA336"/>
  <c r="AZ336"/>
  <c r="BA337"/>
  <c r="AZ337"/>
  <c r="BL337"/>
  <c r="G338"/>
  <c r="G341"/>
  <c r="BA342"/>
  <c r="BL342"/>
  <c r="AZ342"/>
  <c r="BA344"/>
  <c r="BL344"/>
  <c r="AZ344" s="1"/>
  <c r="BA346"/>
  <c r="AZ346" s="1"/>
  <c r="BA347"/>
  <c r="AZ347" s="1"/>
  <c r="BL347"/>
  <c r="G350"/>
  <c r="BA351"/>
  <c r="BL351"/>
  <c r="G352"/>
  <c r="G354"/>
  <c r="BA355"/>
  <c r="AZ355"/>
  <c r="BA356"/>
  <c r="BL356"/>
  <c r="AZ356" s="1"/>
  <c r="G357"/>
  <c r="G360"/>
  <c r="BL361"/>
  <c r="BA363"/>
  <c r="AZ363" s="1"/>
  <c r="BA364"/>
  <c r="BL364"/>
  <c r="G365"/>
  <c r="G368"/>
  <c r="BL369"/>
  <c r="BA371"/>
  <c r="AZ371"/>
  <c r="BA372"/>
  <c r="AZ372"/>
  <c r="BL372"/>
  <c r="G373"/>
  <c r="G376"/>
  <c r="BL377"/>
  <c r="BL379"/>
  <c r="BA381"/>
  <c r="AZ381" s="1"/>
  <c r="BA382"/>
  <c r="BL382"/>
  <c r="G383"/>
  <c r="G386"/>
  <c r="BL387"/>
  <c r="BA389"/>
  <c r="AZ389"/>
  <c r="BA390"/>
  <c r="BL390"/>
  <c r="AZ390" s="1"/>
  <c r="G391"/>
  <c r="G394"/>
  <c r="AZ138"/>
  <c r="AZ142"/>
  <c r="AZ146"/>
  <c r="AZ150"/>
  <c r="AZ154"/>
  <c r="AZ158"/>
  <c r="AZ162"/>
  <c r="AZ166"/>
  <c r="AZ170"/>
  <c r="AZ174"/>
  <c r="AZ178"/>
  <c r="AZ182"/>
  <c r="AZ186"/>
  <c r="AZ190"/>
  <c r="AZ194"/>
  <c r="AZ198"/>
  <c r="AZ202"/>
  <c r="AZ206"/>
  <c r="AZ500"/>
  <c r="BA16"/>
  <c r="AZ16" s="1"/>
  <c r="BL303"/>
  <c r="AZ303" s="1"/>
  <c r="G304"/>
  <c r="BA306"/>
  <c r="AZ306" s="1"/>
  <c r="BL307"/>
  <c r="AZ307" s="1"/>
  <c r="G308"/>
  <c r="BA310"/>
  <c r="BL311"/>
  <c r="AZ311"/>
  <c r="G312"/>
  <c r="BA314"/>
  <c r="AZ314" s="1"/>
  <c r="BL315"/>
  <c r="AZ315" s="1"/>
  <c r="G316"/>
  <c r="BA318"/>
  <c r="AZ318"/>
  <c r="BL319"/>
  <c r="G320"/>
  <c r="BA322"/>
  <c r="AZ322"/>
  <c r="BL323"/>
  <c r="AZ323"/>
  <c r="G324"/>
  <c r="BA326"/>
  <c r="AZ326" s="1"/>
  <c r="BL327"/>
  <c r="AZ327" s="1"/>
  <c r="G328"/>
  <c r="BA330"/>
  <c r="AZ330"/>
  <c r="BL331"/>
  <c r="AZ331"/>
  <c r="G332"/>
  <c r="BA334"/>
  <c r="BL335"/>
  <c r="AZ335" s="1"/>
  <c r="G336"/>
  <c r="BA338"/>
  <c r="AZ338" s="1"/>
  <c r="BL339"/>
  <c r="AZ339" s="1"/>
  <c r="G340"/>
  <c r="BL343"/>
  <c r="G344"/>
  <c r="G348"/>
  <c r="G355"/>
  <c r="AZ209"/>
  <c r="AZ214"/>
  <c r="AZ218"/>
  <c r="AZ222"/>
  <c r="AZ319"/>
  <c r="G342"/>
  <c r="BL345"/>
  <c r="AZ345"/>
  <c r="G346"/>
  <c r="AZ348"/>
  <c r="BL349"/>
  <c r="AZ349"/>
  <c r="BL352"/>
  <c r="G353"/>
  <c r="BA357"/>
  <c r="AZ357"/>
  <c r="BL358"/>
  <c r="AZ358"/>
  <c r="G359"/>
  <c r="BA361"/>
  <c r="AZ361" s="1"/>
  <c r="BL362"/>
  <c r="G363"/>
  <c r="BA365"/>
  <c r="AZ365" s="1"/>
  <c r="BL366"/>
  <c r="AZ366" s="1"/>
  <c r="G367"/>
  <c r="BA369"/>
  <c r="AZ369"/>
  <c r="BL370"/>
  <c r="G371"/>
  <c r="BA373"/>
  <c r="AZ373"/>
  <c r="BL374"/>
  <c r="AZ374"/>
  <c r="G375"/>
  <c r="BA377"/>
  <c r="AZ377" s="1"/>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M5"/>
  <c r="F29" i="6" s="1"/>
  <c r="BJ5" i="3"/>
  <c r="BF5"/>
  <c r="AZ309"/>
  <c r="AZ317"/>
  <c r="AZ325"/>
  <c r="AZ333"/>
  <c r="AZ341"/>
  <c r="AZ549"/>
  <c r="AZ506"/>
  <c r="G548"/>
  <c r="G538"/>
  <c r="G520"/>
  <c r="G502"/>
  <c r="BS5"/>
  <c r="BK5"/>
  <c r="BC5"/>
  <c r="G17"/>
  <c r="BA17"/>
  <c r="AZ350"/>
  <c r="AZ352"/>
  <c r="AZ364"/>
  <c r="AZ368"/>
  <c r="BA15"/>
  <c r="AZ15" s="1"/>
  <c r="BB5"/>
  <c r="AZ380"/>
  <c r="AZ384"/>
  <c r="AZ388"/>
  <c r="AZ392"/>
  <c r="AZ396"/>
  <c r="AZ394"/>
  <c r="AZ499"/>
  <c r="AZ509"/>
  <c r="G509"/>
  <c r="BL493"/>
  <c r="AZ493" s="1"/>
  <c r="AZ491"/>
  <c r="AZ382"/>
  <c r="U36" i="40"/>
  <c r="N4" i="43"/>
  <c r="F36"/>
  <c r="F81"/>
  <c r="H83"/>
  <c r="H113"/>
  <c r="F48"/>
  <c r="N7"/>
  <c r="F70"/>
  <c r="H73"/>
  <c r="M6"/>
  <c r="M11"/>
  <c r="E17"/>
  <c r="F39"/>
  <c r="I17"/>
  <c r="F35"/>
  <c r="J17"/>
  <c r="F6" i="1"/>
  <c r="S14" i="35"/>
  <c r="U43" i="21"/>
  <c r="U35"/>
  <c r="AC35"/>
  <c r="U10"/>
  <c r="G8" i="1"/>
  <c r="G9"/>
  <c r="G10"/>
  <c r="F48" i="9"/>
  <c r="O52" s="1"/>
  <c r="AZ563" i="3"/>
  <c r="W37" i="37"/>
  <c r="W44" i="34"/>
  <c r="AC44"/>
  <c r="S15" i="37"/>
  <c r="U13"/>
  <c r="U12" i="40"/>
  <c r="AA12"/>
  <c r="J37" i="33"/>
  <c r="W37" s="1"/>
  <c r="AC17" i="34"/>
  <c r="G106" i="33"/>
  <c r="H106" s="1"/>
  <c r="I106"/>
  <c r="J106" s="1"/>
  <c r="K106" s="1"/>
  <c r="L106" s="1"/>
  <c r="M106" s="1"/>
  <c r="J34"/>
  <c r="W34"/>
  <c r="F33" i="34"/>
  <c r="S33"/>
  <c r="W12" i="36"/>
  <c r="AC12"/>
  <c r="H20"/>
  <c r="U20"/>
  <c r="J20"/>
  <c r="W20"/>
  <c r="W24"/>
  <c r="J27"/>
  <c r="AB25" i="37"/>
  <c r="AC33" i="40"/>
  <c r="F111"/>
  <c r="G111" s="1"/>
  <c r="H111"/>
  <c r="I111" s="1"/>
  <c r="J111" s="1"/>
  <c r="K111" s="1"/>
  <c r="L111" s="1"/>
  <c r="M111" s="1"/>
  <c r="H35"/>
  <c r="AB35" s="1"/>
  <c r="AC29" i="35"/>
  <c r="W29"/>
  <c r="H35" i="37"/>
  <c r="U35" s="1"/>
  <c r="AC14" i="35"/>
  <c r="H20"/>
  <c r="U20"/>
  <c r="F20"/>
  <c r="AA20"/>
  <c r="AB29" i="36"/>
  <c r="U29"/>
  <c r="H32" i="37"/>
  <c r="AB32" s="1"/>
  <c r="F96"/>
  <c r="H27" i="40"/>
  <c r="U27"/>
  <c r="J27"/>
  <c r="AC27"/>
  <c r="F27"/>
  <c r="S27"/>
  <c r="J30"/>
  <c r="AC30"/>
  <c r="F30"/>
  <c r="AA30"/>
  <c r="AC21"/>
  <c r="S11"/>
  <c r="E98"/>
  <c r="F98" s="1"/>
  <c r="G98"/>
  <c r="H98" s="1"/>
  <c r="I98" s="1"/>
  <c r="J98" s="1"/>
  <c r="K98" s="1"/>
  <c r="L98" s="1"/>
  <c r="M98" s="1"/>
  <c r="F10" i="33"/>
  <c r="S10"/>
  <c r="F34"/>
  <c r="S34"/>
  <c r="H34"/>
  <c r="U34"/>
  <c r="F35"/>
  <c r="S35"/>
  <c r="F39" i="34"/>
  <c r="S39"/>
  <c r="J39"/>
  <c r="W39"/>
  <c r="F40"/>
  <c r="S40"/>
  <c r="F43"/>
  <c r="AA43"/>
  <c r="H44"/>
  <c r="AB44"/>
  <c r="AC38" i="39"/>
  <c r="F39"/>
  <c r="S39" s="1"/>
  <c r="J39"/>
  <c r="E97"/>
  <c r="F97" s="1"/>
  <c r="G97"/>
  <c r="AZ353" i="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74"/>
  <c r="H50"/>
  <c r="H48"/>
  <c r="I20"/>
  <c r="F23" i="39"/>
  <c r="AA23" s="1"/>
  <c r="H27" i="36"/>
  <c r="U27" s="1"/>
  <c r="F27"/>
  <c r="H33" i="34"/>
  <c r="F32" i="37"/>
  <c r="G96"/>
  <c r="H96" s="1"/>
  <c r="I96" s="1"/>
  <c r="J96" s="1"/>
  <c r="K96" s="1"/>
  <c r="L96" s="1"/>
  <c r="M96" s="1"/>
  <c r="F20" i="36"/>
  <c r="AA20"/>
  <c r="J33" i="34"/>
  <c r="AC33"/>
  <c r="H23" i="39"/>
  <c r="U23" s="1"/>
  <c r="D48" i="9"/>
  <c r="M52"/>
  <c r="H86" i="43"/>
  <c r="H82"/>
  <c r="H87"/>
  <c r="K9" i="1"/>
  <c r="M9" s="1"/>
  <c r="O9" s="1"/>
  <c r="AE9"/>
  <c r="K6"/>
  <c r="AC26" i="33"/>
  <c r="W27" i="34"/>
  <c r="AB34" i="36"/>
  <c r="U34"/>
  <c r="AB33"/>
  <c r="U33"/>
  <c r="AC12" i="39"/>
  <c r="W12"/>
  <c r="AC39" i="40"/>
  <c r="W39"/>
  <c r="AZ401" i="3"/>
  <c r="AZ412"/>
  <c r="AZ417"/>
  <c r="AZ428"/>
  <c r="AZ433"/>
  <c r="AZ465"/>
  <c r="B113" i="43"/>
  <c r="B116" s="1"/>
  <c r="C116" s="1"/>
  <c r="J101"/>
  <c r="J107" s="1"/>
  <c r="N104" i="46"/>
  <c r="W12" i="33"/>
  <c r="AC12"/>
  <c r="AZ550" i="3"/>
  <c r="AZ408"/>
  <c r="AZ437"/>
  <c r="AZ441"/>
  <c r="AZ457"/>
  <c r="AZ473"/>
  <c r="AZ490"/>
  <c r="AA39" i="34"/>
  <c r="BL14" i="3"/>
  <c r="AZ266"/>
  <c r="U30" i="33"/>
  <c r="AC13" i="34"/>
  <c r="AA47"/>
  <c r="W28" i="37"/>
  <c r="F12" i="33"/>
  <c r="S12" s="1"/>
  <c r="H12" i="39"/>
  <c r="AB12"/>
  <c r="F39" i="40"/>
  <c r="BA14" i="3"/>
  <c r="AZ14" s="1"/>
  <c r="AZ367"/>
  <c r="AZ213"/>
  <c r="AZ224"/>
  <c r="AZ234"/>
  <c r="AZ238"/>
  <c r="AZ250"/>
  <c r="AZ254"/>
  <c r="AZ281"/>
  <c r="AZ286"/>
  <c r="AZ297"/>
  <c r="AZ149"/>
  <c r="AZ157"/>
  <c r="AZ165"/>
  <c r="AZ173"/>
  <c r="AZ181"/>
  <c r="AZ189"/>
  <c r="AZ197"/>
  <c r="AZ19"/>
  <c r="AZ26"/>
  <c r="AZ35"/>
  <c r="AZ41"/>
  <c r="S12" i="1"/>
  <c r="AR12" s="1"/>
  <c r="R12"/>
  <c r="B12"/>
  <c r="E12"/>
  <c r="S10"/>
  <c r="AQ10" s="1"/>
  <c r="R10"/>
  <c r="B10"/>
  <c r="E10" s="1"/>
  <c r="D1" i="66"/>
  <c r="E10" s="1"/>
  <c r="AZ80" i="3"/>
  <c r="AZ84"/>
  <c r="AZ88"/>
  <c r="AZ107"/>
  <c r="AZ111"/>
  <c r="K12" i="1"/>
  <c r="M12" s="1"/>
  <c r="O12" s="1"/>
  <c r="S13"/>
  <c r="AR13" s="1"/>
  <c r="R13"/>
  <c r="S11"/>
  <c r="R11"/>
  <c r="S9"/>
  <c r="AR9" s="1"/>
  <c r="R9"/>
  <c r="J51" i="67"/>
  <c r="C42" i="1"/>
  <c r="C77" i="9" s="1"/>
  <c r="C74" s="1"/>
  <c r="H100" i="43"/>
  <c r="C30" i="66"/>
  <c r="E26"/>
  <c r="AC34" i="33"/>
  <c r="AA34"/>
  <c r="B41" i="1"/>
  <c r="F30" i="68" s="1"/>
  <c r="S22" i="31"/>
  <c r="R22" s="1"/>
  <c r="J100" i="43"/>
  <c r="AB37" i="40"/>
  <c r="S35"/>
  <c r="U35"/>
  <c r="AC36"/>
  <c r="W38"/>
  <c r="AA32"/>
  <c r="S17"/>
  <c r="AC17"/>
  <c r="AC15"/>
  <c r="AB27"/>
  <c r="S30"/>
  <c r="AA19"/>
  <c r="S28"/>
  <c r="AA27"/>
  <c r="AB19"/>
  <c r="W42" i="39"/>
  <c r="U37"/>
  <c r="S37"/>
  <c r="U35"/>
  <c r="U31"/>
  <c r="J21"/>
  <c r="W21" s="1"/>
  <c r="H21"/>
  <c r="AB21" s="1"/>
  <c r="W19"/>
  <c r="S15"/>
  <c r="AB15"/>
  <c r="AA12"/>
  <c r="S9"/>
  <c r="U14"/>
  <c r="AC13"/>
  <c r="U12"/>
  <c r="S23" i="36"/>
  <c r="U13"/>
  <c r="U26"/>
  <c r="AA26"/>
  <c r="AA34"/>
  <c r="S29"/>
  <c r="AA22"/>
  <c r="W14"/>
  <c r="AB14"/>
  <c r="U22"/>
  <c r="S16"/>
  <c r="S24"/>
  <c r="U24"/>
  <c r="U23"/>
  <c r="AB20"/>
  <c r="U16"/>
  <c r="S14"/>
  <c r="U10"/>
  <c r="W10"/>
  <c r="AA25" i="35"/>
  <c r="S23"/>
  <c r="AB13"/>
  <c r="U29"/>
  <c r="U28"/>
  <c r="AB27"/>
  <c r="U32"/>
  <c r="AA33"/>
  <c r="S32"/>
  <c r="S28"/>
  <c r="U22"/>
  <c r="S20"/>
  <c r="AC20"/>
  <c r="U14"/>
  <c r="AC10"/>
  <c r="AA10"/>
  <c r="AB10"/>
  <c r="AA11"/>
  <c r="S8"/>
  <c r="AC9"/>
  <c r="W9"/>
  <c r="AC12"/>
  <c r="W13"/>
  <c r="F9"/>
  <c r="AA9" s="1"/>
  <c r="H9"/>
  <c r="F26"/>
  <c r="AA26" s="1"/>
  <c r="J26"/>
  <c r="AC26" s="1"/>
  <c r="H26"/>
  <c r="AB40" i="37"/>
  <c r="S25"/>
  <c r="W27"/>
  <c r="AC9"/>
  <c r="AC29"/>
  <c r="U29"/>
  <c r="AB31"/>
  <c r="W30"/>
  <c r="S36"/>
  <c r="AA38"/>
  <c r="W38"/>
  <c r="AC35"/>
  <c r="W39"/>
  <c r="S30"/>
  <c r="S37"/>
  <c r="AC15"/>
  <c r="J17"/>
  <c r="W17"/>
  <c r="G73"/>
  <c r="F17"/>
  <c r="AA17" s="1"/>
  <c r="AB17"/>
  <c r="F75"/>
  <c r="F19"/>
  <c r="S19" s="1"/>
  <c r="F79"/>
  <c r="F23"/>
  <c r="U23"/>
  <c r="U15"/>
  <c r="AA9"/>
  <c r="H10"/>
  <c r="H60"/>
  <c r="I60" s="1"/>
  <c r="F63"/>
  <c r="F11"/>
  <c r="S27" i="34"/>
  <c r="AB8"/>
  <c r="AA33"/>
  <c r="U44"/>
  <c r="U43"/>
  <c r="AC39"/>
  <c r="W41"/>
  <c r="AC42"/>
  <c r="AB35"/>
  <c r="U39"/>
  <c r="S43"/>
  <c r="AB41"/>
  <c r="AA45"/>
  <c r="W34"/>
  <c r="AA25"/>
  <c r="S17"/>
  <c r="AA29"/>
  <c r="U27"/>
  <c r="S23"/>
  <c r="U15"/>
  <c r="S10"/>
  <c r="S13"/>
  <c r="H10"/>
  <c r="F11"/>
  <c r="S11" s="1"/>
  <c r="F70"/>
  <c r="G70" s="1"/>
  <c r="W42" i="33"/>
  <c r="AA35"/>
  <c r="S27"/>
  <c r="S32"/>
  <c r="AB29"/>
  <c r="W38"/>
  <c r="H41"/>
  <c r="U41" s="1"/>
  <c r="G121"/>
  <c r="H121" s="1"/>
  <c r="I121" s="1"/>
  <c r="J121" s="1"/>
  <c r="K121" s="1"/>
  <c r="L121" s="1"/>
  <c r="M121" s="1"/>
  <c r="U42"/>
  <c r="S42"/>
  <c r="F36"/>
  <c r="G111"/>
  <c r="H108"/>
  <c r="I108" s="1"/>
  <c r="J108" s="1"/>
  <c r="K108" s="1"/>
  <c r="L108" s="1"/>
  <c r="M108" s="1"/>
  <c r="J35"/>
  <c r="AC35" s="1"/>
  <c r="S37"/>
  <c r="AA37"/>
  <c r="F101"/>
  <c r="G101" s="1"/>
  <c r="H101" s="1"/>
  <c r="I101" s="1"/>
  <c r="J101" s="1"/>
  <c r="K101" s="1"/>
  <c r="L101" s="1"/>
  <c r="M101" s="1"/>
  <c r="J32"/>
  <c r="W32" s="1"/>
  <c r="S46"/>
  <c r="W43"/>
  <c r="S43"/>
  <c r="F91"/>
  <c r="H27"/>
  <c r="F87"/>
  <c r="H25"/>
  <c r="F25"/>
  <c r="AA25" s="1"/>
  <c r="J23"/>
  <c r="F85"/>
  <c r="G85" s="1"/>
  <c r="H23"/>
  <c r="F81"/>
  <c r="F19"/>
  <c r="S19"/>
  <c r="W19"/>
  <c r="J17"/>
  <c r="AC17" s="1"/>
  <c r="S15"/>
  <c r="W15"/>
  <c r="U9"/>
  <c r="J10"/>
  <c r="W10" s="1"/>
  <c r="H10"/>
  <c r="AA10"/>
  <c r="AB14"/>
  <c r="W43" i="21"/>
  <c r="W36"/>
  <c r="W41"/>
  <c r="AB39"/>
  <c r="AA43"/>
  <c r="S39"/>
  <c r="AA38"/>
  <c r="AA36"/>
  <c r="AC40"/>
  <c r="J15"/>
  <c r="F77"/>
  <c r="G77" s="1"/>
  <c r="F23"/>
  <c r="E85"/>
  <c r="AC11"/>
  <c r="AB8"/>
  <c r="S8"/>
  <c r="M3" i="43"/>
  <c r="N10"/>
  <c r="M1"/>
  <c r="M8"/>
  <c r="N8"/>
  <c r="N9"/>
  <c r="D120" i="9"/>
  <c r="F34" i="67"/>
  <c r="F62" s="1"/>
  <c r="M20"/>
  <c r="F34" i="15"/>
  <c r="F62"/>
  <c r="G13" i="3"/>
  <c r="G5" s="1"/>
  <c r="B3" s="1"/>
  <c r="BA13"/>
  <c r="BL17"/>
  <c r="BL13"/>
  <c r="J56" i="9"/>
  <c r="J57" s="1"/>
  <c r="U29" i="34"/>
  <c r="E5" i="6"/>
  <c r="D9" i="69" s="1"/>
  <c r="C9" s="1"/>
  <c r="P10" i="1"/>
  <c r="H22" i="43"/>
  <c r="L101"/>
  <c r="H101"/>
  <c r="H106" s="1"/>
  <c r="D101"/>
  <c r="D109" s="1"/>
  <c r="M101"/>
  <c r="M109" s="1"/>
  <c r="I101"/>
  <c r="I109" s="1"/>
  <c r="E101"/>
  <c r="G22"/>
  <c r="E32" i="6"/>
  <c r="L19"/>
  <c r="G1" i="68"/>
  <c r="K1" i="12"/>
  <c r="J102" i="43"/>
  <c r="I117"/>
  <c r="J117" s="1"/>
  <c r="K117" s="1"/>
  <c r="L117" s="1"/>
  <c r="M117" s="1"/>
  <c r="AQ12" i="1"/>
  <c r="AR10"/>
  <c r="E19" i="69"/>
  <c r="E19" i="68"/>
  <c r="E19" i="11"/>
  <c r="E1" i="73"/>
  <c r="G41" i="69"/>
  <c r="G22"/>
  <c r="G41" i="68"/>
  <c r="G22"/>
  <c r="G27" i="12"/>
  <c r="G26"/>
  <c r="G41" i="11"/>
  <c r="G22"/>
  <c r="G25" i="12"/>
  <c r="C100" i="43"/>
  <c r="E11"/>
  <c r="E10"/>
  <c r="E9"/>
  <c r="E8"/>
  <c r="C7"/>
  <c r="E81"/>
  <c r="B79"/>
  <c r="AJ11"/>
  <c r="AJ13" s="1"/>
  <c r="AH11"/>
  <c r="AF11"/>
  <c r="AF13" s="1"/>
  <c r="AD11"/>
  <c r="AB11"/>
  <c r="AB13" s="1"/>
  <c r="Z11"/>
  <c r="Z7"/>
  <c r="AI11"/>
  <c r="AI13" s="1"/>
  <c r="AG11"/>
  <c r="AE11"/>
  <c r="AE13" s="1"/>
  <c r="AC11"/>
  <c r="AA11"/>
  <c r="AA13" s="1"/>
  <c r="Y11"/>
  <c r="Y13" s="1"/>
  <c r="E48"/>
  <c r="B46" s="1"/>
  <c r="E70"/>
  <c r="B68" s="1"/>
  <c r="C20"/>
  <c r="F100"/>
  <c r="H17"/>
  <c r="D9" i="53"/>
  <c r="B25" i="72"/>
  <c r="B24"/>
  <c r="G6" i="1"/>
  <c r="H85" i="43"/>
  <c r="H81"/>
  <c r="H84"/>
  <c r="H88"/>
  <c r="H54"/>
  <c r="H78"/>
  <c r="H70"/>
  <c r="H71"/>
  <c r="C17"/>
  <c r="F33"/>
  <c r="G17"/>
  <c r="F34"/>
  <c r="M7"/>
  <c r="N6"/>
  <c r="M2"/>
  <c r="C6"/>
  <c r="M10"/>
  <c r="N3"/>
  <c r="N11"/>
  <c r="F38"/>
  <c r="F37"/>
  <c r="M9"/>
  <c r="N12"/>
  <c r="N5"/>
  <c r="M5"/>
  <c r="M12"/>
  <c r="M4"/>
  <c r="B19" i="53"/>
  <c r="B37" i="72"/>
  <c r="C7" i="39"/>
  <c r="C68"/>
  <c r="C7" i="35"/>
  <c r="C7" i="33"/>
  <c r="C58" s="1"/>
  <c r="D58" s="1"/>
  <c r="E58" s="1"/>
  <c r="C7" i="21"/>
  <c r="C7" i="40"/>
  <c r="C63" s="1"/>
  <c r="D63" s="1"/>
  <c r="D65" s="1"/>
  <c r="M47" i="9"/>
  <c r="G19" i="43"/>
  <c r="T35" i="4"/>
  <c r="A19" i="51" s="1"/>
  <c r="B14" i="72"/>
  <c r="C46" i="36"/>
  <c r="D46" s="1"/>
  <c r="C59" i="34"/>
  <c r="C52" i="37"/>
  <c r="C48" i="35"/>
  <c r="C58" i="21"/>
  <c r="C94" i="9"/>
  <c r="C92"/>
  <c r="H62" i="43"/>
  <c r="H66"/>
  <c r="H61"/>
  <c r="H65"/>
  <c r="H60"/>
  <c r="H64"/>
  <c r="H59"/>
  <c r="H63"/>
  <c r="H67"/>
  <c r="H55"/>
  <c r="H56"/>
  <c r="H76"/>
  <c r="H72"/>
  <c r="H77"/>
  <c r="L20" i="6"/>
  <c r="B6" i="1"/>
  <c r="E6" s="1"/>
  <c r="S8"/>
  <c r="AQ8" s="1"/>
  <c r="K11"/>
  <c r="M11" s="1"/>
  <c r="O11" s="1"/>
  <c r="AP6"/>
  <c r="B9"/>
  <c r="E9" s="1"/>
  <c r="K7"/>
  <c r="M7" s="1"/>
  <c r="G1" i="15"/>
  <c r="G1" i="69"/>
  <c r="G1" i="67"/>
  <c r="W23" i="40"/>
  <c r="U32"/>
  <c r="AB31"/>
  <c r="S37"/>
  <c r="AB28"/>
  <c r="W28"/>
  <c r="W34"/>
  <c r="W19"/>
  <c r="W27"/>
  <c r="W37"/>
  <c r="AC14"/>
  <c r="S13"/>
  <c r="S33"/>
  <c r="AA15"/>
  <c r="U11"/>
  <c r="S31"/>
  <c r="AB13"/>
  <c r="U15"/>
  <c r="AB17"/>
  <c r="U8"/>
  <c r="S8"/>
  <c r="AA39" i="39"/>
  <c r="U42"/>
  <c r="AB23"/>
  <c r="U41"/>
  <c r="AB41"/>
  <c r="U13"/>
  <c r="AA13"/>
  <c r="S13"/>
  <c r="S14"/>
  <c r="AA14"/>
  <c r="S23"/>
  <c r="AB39"/>
  <c r="W34"/>
  <c r="U38"/>
  <c r="S8"/>
  <c r="S20" i="36"/>
  <c r="S28"/>
  <c r="W29"/>
  <c r="AC20"/>
  <c r="AB28"/>
  <c r="W9"/>
  <c r="W22"/>
  <c r="W23"/>
  <c r="S9"/>
  <c r="AB20" i="35"/>
  <c r="AC25"/>
  <c r="U25"/>
  <c r="AA30"/>
  <c r="S35"/>
  <c r="W35"/>
  <c r="AA16"/>
  <c r="AA35" i="37"/>
  <c r="S27"/>
  <c r="S28"/>
  <c r="W32"/>
  <c r="U36"/>
  <c r="S40"/>
  <c r="U38"/>
  <c r="S33"/>
  <c r="AC34"/>
  <c r="AB35"/>
  <c r="AA31"/>
  <c r="AA29"/>
  <c r="AA8"/>
  <c r="U8"/>
  <c r="AA40" i="34"/>
  <c r="AB40"/>
  <c r="U19"/>
  <c r="W19"/>
  <c r="AC45"/>
  <c r="AA31"/>
  <c r="AA30"/>
  <c r="AB45"/>
  <c r="AB47"/>
  <c r="U25"/>
  <c r="AB36"/>
  <c r="W33"/>
  <c r="AC14"/>
  <c r="AC29"/>
  <c r="W46"/>
  <c r="AC46"/>
  <c r="S32"/>
  <c r="AA32"/>
  <c r="U30"/>
  <c r="AB30"/>
  <c r="S37"/>
  <c r="AC40"/>
  <c r="W40"/>
  <c r="AA19"/>
  <c r="S19"/>
  <c r="AA36"/>
  <c r="S36"/>
  <c r="AA8"/>
  <c r="S46"/>
  <c r="U32"/>
  <c r="AB32"/>
  <c r="U14"/>
  <c r="AC43"/>
  <c r="W43"/>
  <c r="AA11"/>
  <c r="W23"/>
  <c r="AC23"/>
  <c r="AB12"/>
  <c r="AC37" i="33"/>
  <c r="U39"/>
  <c r="U38"/>
  <c r="S33"/>
  <c r="AB34"/>
  <c r="U44"/>
  <c r="AB44"/>
  <c r="S30"/>
  <c r="AA30"/>
  <c r="AC14"/>
  <c r="AC30"/>
  <c r="S31"/>
  <c r="AA31"/>
  <c r="W13"/>
  <c r="AC13"/>
  <c r="U15"/>
  <c r="S11"/>
  <c r="U37"/>
  <c r="S28"/>
  <c r="W9"/>
  <c r="W8"/>
  <c r="S44" i="21"/>
  <c r="AB42"/>
  <c r="AA11"/>
  <c r="F33"/>
  <c r="J33"/>
  <c r="AC33" s="1"/>
  <c r="H33"/>
  <c r="AB33"/>
  <c r="F37"/>
  <c r="AA37"/>
  <c r="AB46"/>
  <c r="U40"/>
  <c r="U13"/>
  <c r="W8"/>
  <c r="S35"/>
  <c r="AB37"/>
  <c r="J37"/>
  <c r="W37"/>
  <c r="H15"/>
  <c r="U15"/>
  <c r="J17"/>
  <c r="AC17"/>
  <c r="W39"/>
  <c r="S46"/>
  <c r="F29"/>
  <c r="S29" s="1"/>
  <c r="F13"/>
  <c r="AC38"/>
  <c r="H32"/>
  <c r="H9"/>
  <c r="AB9" s="1"/>
  <c r="J32"/>
  <c r="W32" s="1"/>
  <c r="F32"/>
  <c r="U17"/>
  <c r="W29"/>
  <c r="K141"/>
  <c r="K144"/>
  <c r="K143"/>
  <c r="U27"/>
  <c r="AB25"/>
  <c r="AB44"/>
  <c r="W13"/>
  <c r="W42"/>
  <c r="F10"/>
  <c r="AA10" s="1"/>
  <c r="K145"/>
  <c r="W17"/>
  <c r="W25"/>
  <c r="AA29"/>
  <c r="S27"/>
  <c r="S17"/>
  <c r="AA15"/>
  <c r="AC27"/>
  <c r="AC26"/>
  <c r="AB29"/>
  <c r="AC34"/>
  <c r="W10"/>
  <c r="W12"/>
  <c r="AB36"/>
  <c r="W30" i="40"/>
  <c r="C19" i="39"/>
  <c r="C17" i="40"/>
  <c r="C21"/>
  <c r="U30"/>
  <c r="B54" i="43"/>
  <c r="B49"/>
  <c r="B52"/>
  <c r="B56"/>
  <c r="B63"/>
  <c r="B67"/>
  <c r="D23" i="15"/>
  <c r="D22"/>
  <c r="E4" i="4"/>
  <c r="B5" i="62" s="1"/>
  <c r="B73" i="72" s="1"/>
  <c r="C4" i="4"/>
  <c r="B4" i="62" s="1"/>
  <c r="B71" i="72" s="1"/>
  <c r="AQ13" i="1"/>
  <c r="M6"/>
  <c r="O6" s="1"/>
  <c r="AQ9"/>
  <c r="T13"/>
  <c r="E217" i="3"/>
  <c r="E526"/>
  <c r="E268"/>
  <c r="E322"/>
  <c r="AJ6"/>
  <c r="S7" i="1"/>
  <c r="T7" s="1"/>
  <c r="E7" i="70"/>
  <c r="C24" i="12"/>
  <c r="AA39" i="40"/>
  <c r="S39"/>
  <c r="AA12" i="33"/>
  <c r="AC21" i="39"/>
  <c r="S26" i="35"/>
  <c r="U9"/>
  <c r="AB9"/>
  <c r="W26"/>
  <c r="AB26"/>
  <c r="U26"/>
  <c r="AC17" i="37"/>
  <c r="S17"/>
  <c r="J19"/>
  <c r="G75"/>
  <c r="J23"/>
  <c r="W23" s="1"/>
  <c r="G79"/>
  <c r="J10"/>
  <c r="AC10" s="1"/>
  <c r="G63"/>
  <c r="H63" s="1"/>
  <c r="H11"/>
  <c r="AB10"/>
  <c r="U10"/>
  <c r="H11" i="34"/>
  <c r="AB10"/>
  <c r="U10"/>
  <c r="J10"/>
  <c r="W10" s="1"/>
  <c r="AB41" i="33"/>
  <c r="W35"/>
  <c r="H111"/>
  <c r="I111" s="1"/>
  <c r="J111" s="1"/>
  <c r="K111" s="1"/>
  <c r="L111" s="1"/>
  <c r="M111" s="1"/>
  <c r="J36"/>
  <c r="AC36" s="1"/>
  <c r="H36"/>
  <c r="S36"/>
  <c r="AA36"/>
  <c r="U27"/>
  <c r="AB27"/>
  <c r="G91"/>
  <c r="H91" s="1"/>
  <c r="I91" s="1"/>
  <c r="J91" s="1"/>
  <c r="K91" s="1"/>
  <c r="L91" s="1"/>
  <c r="M91" s="1"/>
  <c r="J27"/>
  <c r="U25"/>
  <c r="AB25"/>
  <c r="G87"/>
  <c r="H87" s="1"/>
  <c r="I87" s="1"/>
  <c r="J87" s="1"/>
  <c r="K87" s="1"/>
  <c r="L87" s="1"/>
  <c r="M87" s="1"/>
  <c r="J25"/>
  <c r="AB23"/>
  <c r="U23"/>
  <c r="F23"/>
  <c r="AA23" s="1"/>
  <c r="AC23"/>
  <c r="W23"/>
  <c r="AA19"/>
  <c r="H19"/>
  <c r="G81"/>
  <c r="H17"/>
  <c r="U17" s="1"/>
  <c r="F17"/>
  <c r="U10"/>
  <c r="AB10"/>
  <c r="AC10"/>
  <c r="AC37" i="21"/>
  <c r="U33"/>
  <c r="S37"/>
  <c r="AB15"/>
  <c r="J23"/>
  <c r="F85"/>
  <c r="G85" s="1"/>
  <c r="H23"/>
  <c r="U23" s="1"/>
  <c r="D6" i="52"/>
  <c r="D121" i="9"/>
  <c r="D7" i="52"/>
  <c r="K120" i="9"/>
  <c r="A18" i="62" s="1"/>
  <c r="B64" i="72" s="1"/>
  <c r="J22" i="43"/>
  <c r="E388" i="3"/>
  <c r="E555"/>
  <c r="E410"/>
  <c r="E337"/>
  <c r="E143"/>
  <c r="J59" i="9"/>
  <c r="J61" s="1"/>
  <c r="E314" i="3"/>
  <c r="E511"/>
  <c r="E16"/>
  <c r="AK6"/>
  <c r="E434"/>
  <c r="E306"/>
  <c r="E296"/>
  <c r="E262"/>
  <c r="E136"/>
  <c r="E236"/>
  <c r="E269"/>
  <c r="E89"/>
  <c r="E102" i="43"/>
  <c r="E104"/>
  <c r="E106"/>
  <c r="E107"/>
  <c r="E103"/>
  <c r="E105"/>
  <c r="M102"/>
  <c r="M104"/>
  <c r="M106"/>
  <c r="M107"/>
  <c r="M103"/>
  <c r="M105"/>
  <c r="E109"/>
  <c r="I102"/>
  <c r="I104"/>
  <c r="I106"/>
  <c r="I107"/>
  <c r="I103"/>
  <c r="I105"/>
  <c r="D103"/>
  <c r="D105"/>
  <c r="D104"/>
  <c r="D106"/>
  <c r="D107"/>
  <c r="D102"/>
  <c r="L105"/>
  <c r="E140" i="3"/>
  <c r="E223"/>
  <c r="E197"/>
  <c r="E173"/>
  <c r="E327"/>
  <c r="E576"/>
  <c r="Z6"/>
  <c r="AG6"/>
  <c r="AO6"/>
  <c r="E448"/>
  <c r="E485"/>
  <c r="P6"/>
  <c r="E400"/>
  <c r="E443"/>
  <c r="E345"/>
  <c r="E558"/>
  <c r="E557"/>
  <c r="E581"/>
  <c r="E531"/>
  <c r="E444"/>
  <c r="E489"/>
  <c r="E404"/>
  <c r="E28"/>
  <c r="E88"/>
  <c r="E70"/>
  <c r="E121"/>
  <c r="E182"/>
  <c r="E166"/>
  <c r="E211"/>
  <c r="E295"/>
  <c r="E273"/>
  <c r="E316"/>
  <c r="E377"/>
  <c r="E334"/>
  <c r="E572"/>
  <c r="E30"/>
  <c r="E109"/>
  <c r="E480"/>
  <c r="E484"/>
  <c r="E467"/>
  <c r="E46"/>
  <c r="E160"/>
  <c r="E200"/>
  <c r="E249"/>
  <c r="E371"/>
  <c r="E492"/>
  <c r="E84"/>
  <c r="E33"/>
  <c r="E184"/>
  <c r="E355"/>
  <c r="E68"/>
  <c r="E81"/>
  <c r="E118"/>
  <c r="E264"/>
  <c r="E283"/>
  <c r="E309"/>
  <c r="E513"/>
  <c r="E21"/>
  <c r="AQ7" i="1"/>
  <c r="B21" i="31"/>
  <c r="O19" i="43"/>
  <c r="C65" i="40"/>
  <c r="AP7" i="1"/>
  <c r="H16"/>
  <c r="W33" i="21"/>
  <c r="S33"/>
  <c r="AA33"/>
  <c r="AC32"/>
  <c r="U9"/>
  <c r="AA32"/>
  <c r="S32"/>
  <c r="AB32"/>
  <c r="U32"/>
  <c r="S10"/>
  <c r="AR7" i="1"/>
  <c r="W19" i="37"/>
  <c r="AC19"/>
  <c r="AC23"/>
  <c r="AB11"/>
  <c r="U11"/>
  <c r="I63"/>
  <c r="J63" s="1"/>
  <c r="K63" s="1"/>
  <c r="L63" s="1"/>
  <c r="M63"/>
  <c r="J11"/>
  <c r="W10"/>
  <c r="U11" i="34"/>
  <c r="AB11"/>
  <c r="AC10"/>
  <c r="H70"/>
  <c r="I70" s="1"/>
  <c r="J70" s="1"/>
  <c r="K70" s="1"/>
  <c r="L70" s="1"/>
  <c r="M70" s="1"/>
  <c r="J11"/>
  <c r="W11" s="1"/>
  <c r="W36" i="33"/>
  <c r="U36"/>
  <c r="AB36"/>
  <c r="W27"/>
  <c r="AC27"/>
  <c r="W25"/>
  <c r="AC25"/>
  <c r="S23"/>
  <c r="AB19"/>
  <c r="U19"/>
  <c r="AA17"/>
  <c r="S17"/>
  <c r="AB17"/>
  <c r="AB23" i="21"/>
  <c r="AC23"/>
  <c r="W23"/>
  <c r="E63" i="40"/>
  <c r="F1" i="67"/>
  <c r="Q52"/>
  <c r="AC11" i="37"/>
  <c r="W11"/>
  <c r="AC11" i="34"/>
  <c r="R7" i="1"/>
  <c r="F11" i="12"/>
  <c r="R8" i="1"/>
  <c r="AE7"/>
  <c r="AE8"/>
  <c r="AG6"/>
  <c r="H109" i="9"/>
  <c r="H110"/>
  <c r="D18" i="53" s="1"/>
  <c r="B35" i="72" s="1"/>
  <c r="D16" i="53"/>
  <c r="H112" i="9"/>
  <c r="D21" i="53" s="1"/>
  <c r="B39" i="72" s="1"/>
  <c r="H111" i="9"/>
  <c r="D126" s="1"/>
  <c r="D127" s="1"/>
  <c r="D13" i="52" s="1"/>
  <c r="D59" i="9"/>
  <c r="M55"/>
  <c r="I14" i="74"/>
  <c r="B8" s="1"/>
  <c r="D12" i="52"/>
  <c r="AD3" i="71"/>
  <c r="P21" i="43"/>
  <c r="P22"/>
  <c r="P23"/>
  <c r="B71" i="39" s="1"/>
  <c r="P24" i="43"/>
  <c r="B66" i="40" s="1"/>
  <c r="P25" i="43"/>
  <c r="F31" i="67"/>
  <c r="F31" i="15"/>
  <c r="L48" i="67"/>
  <c r="M21"/>
  <c r="F5" i="73"/>
  <c r="M27" i="67"/>
  <c r="M24"/>
  <c r="M9" i="15"/>
  <c r="M8"/>
  <c r="M28" i="67"/>
  <c r="F7"/>
  <c r="AO11" i="1"/>
  <c r="M6" i="67"/>
  <c r="D2" i="34"/>
  <c r="F43" i="15"/>
  <c r="B10" i="76"/>
  <c r="M23" i="15"/>
  <c r="AO12" i="1"/>
  <c r="F36" i="15"/>
  <c r="L47"/>
  <c r="F16"/>
  <c r="M29" i="67"/>
  <c r="D2" i="33"/>
  <c r="B8" i="76"/>
  <c r="F42" i="15"/>
  <c r="D2" i="21"/>
  <c r="E9" i="76"/>
  <c r="E12"/>
  <c r="F7" i="15"/>
  <c r="B13" i="76"/>
  <c r="F37" i="15"/>
  <c r="E2" i="69"/>
  <c r="F8" i="15"/>
  <c r="M8" i="67"/>
  <c r="M23"/>
  <c r="F41"/>
  <c r="M27" i="15"/>
  <c r="M9" i="67"/>
  <c r="F13"/>
  <c r="F6"/>
  <c r="M26" i="15"/>
  <c r="F3" i="73"/>
  <c r="F43" i="67"/>
  <c r="F38" i="15"/>
  <c r="F9"/>
  <c r="F13"/>
  <c r="D2" i="35"/>
  <c r="AO8" i="1"/>
  <c r="E10" i="76"/>
  <c r="F16" i="67"/>
  <c r="M24" i="15"/>
  <c r="J15"/>
  <c r="F36" i="67"/>
  <c r="E8" i="76"/>
  <c r="E13"/>
  <c r="M22" i="15"/>
  <c r="L47" i="67"/>
  <c r="F6" i="15"/>
  <c r="M6"/>
  <c r="F20" i="31"/>
  <c r="M29" i="15"/>
  <c r="AO10" i="1"/>
  <c r="E7" i="76"/>
  <c r="D2" i="36"/>
  <c r="M28" i="15"/>
  <c r="AO9" i="1"/>
  <c r="B9" i="76"/>
  <c r="F40" i="15"/>
  <c r="B11" i="76"/>
  <c r="F37" i="67"/>
  <c r="F35"/>
  <c r="C76"/>
  <c r="F9"/>
  <c r="M22"/>
  <c r="E11" i="76"/>
  <c r="D2" i="37"/>
  <c r="F38" i="67"/>
  <c r="F26"/>
  <c r="B12" i="76"/>
  <c r="F40" i="67"/>
  <c r="F42"/>
  <c r="J15"/>
  <c r="F8"/>
  <c r="F26" i="15"/>
  <c r="E2" i="68"/>
  <c r="AO7" i="1"/>
  <c r="B7" i="76"/>
  <c r="M26" i="67"/>
  <c r="L48" i="15"/>
  <c r="AO13" i="1"/>
  <c r="C76" i="15"/>
  <c r="S27" i="39" l="1"/>
  <c r="W23"/>
  <c r="J31"/>
  <c r="F32"/>
  <c r="S32" s="1"/>
  <c r="F107"/>
  <c r="G107" s="1"/>
  <c r="H107" s="1"/>
  <c r="I107" s="1"/>
  <c r="J107" s="1"/>
  <c r="K107" s="1"/>
  <c r="L107" s="1"/>
  <c r="M107" s="1"/>
  <c r="H32"/>
  <c r="J32"/>
  <c r="AC32" s="1"/>
  <c r="AA32"/>
  <c r="W32"/>
  <c r="AZ13" i="3"/>
  <c r="D93" i="9"/>
  <c r="J1" i="73"/>
  <c r="C40" i="68"/>
  <c r="C40" i="69"/>
  <c r="C18" i="9"/>
  <c r="D18" s="1"/>
  <c r="D19" i="12"/>
  <c r="C19" s="1"/>
  <c r="L27" i="6"/>
  <c r="G101" i="43"/>
  <c r="G102" s="1"/>
  <c r="P61" i="15"/>
  <c r="J53"/>
  <c r="E16" i="49"/>
  <c r="E22"/>
  <c r="U19" i="39"/>
  <c r="U29"/>
  <c r="B8" i="49"/>
  <c r="B4"/>
  <c r="S25" i="39"/>
  <c r="U25"/>
  <c r="J25"/>
  <c r="G95"/>
  <c r="F21"/>
  <c r="AA21" s="1"/>
  <c r="W27"/>
  <c r="S21"/>
  <c r="U21"/>
  <c r="F91"/>
  <c r="J17"/>
  <c r="H17"/>
  <c r="F32" i="15"/>
  <c r="F60" s="1"/>
  <c r="F31" i="12"/>
  <c r="D68" i="9"/>
  <c r="F32" i="67"/>
  <c r="F60" s="1"/>
  <c r="F30" i="11"/>
  <c r="C30" i="68"/>
  <c r="C48"/>
  <c r="C13" i="12"/>
  <c r="M18" i="15"/>
  <c r="F30" i="69"/>
  <c r="C48" s="1"/>
  <c r="F28" i="67"/>
  <c r="C28" s="1"/>
  <c r="C36" i="11"/>
  <c r="E125" i="3"/>
  <c r="E366"/>
  <c r="E553"/>
  <c r="E282"/>
  <c r="N6"/>
  <c r="O6"/>
  <c r="E574"/>
  <c r="E359"/>
  <c r="E285"/>
  <c r="E97"/>
  <c r="E397"/>
  <c r="E568"/>
  <c r="I6"/>
  <c r="E536"/>
  <c r="E549"/>
  <c r="E453"/>
  <c r="E368"/>
  <c r="E244"/>
  <c r="E196"/>
  <c r="E156"/>
  <c r="E148"/>
  <c r="E122"/>
  <c r="E85"/>
  <c r="E238"/>
  <c r="E116"/>
  <c r="E105"/>
  <c r="E379"/>
  <c r="E585"/>
  <c r="U6"/>
  <c r="E515"/>
  <c r="E411"/>
  <c r="E478"/>
  <c r="E548"/>
  <c r="E414"/>
  <c r="E432"/>
  <c r="E477"/>
  <c r="E367"/>
  <c r="E505"/>
  <c r="E547"/>
  <c r="AS6"/>
  <c r="E403"/>
  <c r="E476"/>
  <c r="E546"/>
  <c r="E447"/>
  <c r="E71"/>
  <c r="E27"/>
  <c r="E92"/>
  <c r="E162"/>
  <c r="E126"/>
  <c r="E186"/>
  <c r="E272"/>
  <c r="E210"/>
  <c r="E291"/>
  <c r="E331"/>
  <c r="E317"/>
  <c r="E384"/>
  <c r="AM6"/>
  <c r="E44"/>
  <c r="E29"/>
  <c r="E441"/>
  <c r="E425"/>
  <c r="E64"/>
  <c r="E103"/>
  <c r="E142"/>
  <c r="E267"/>
  <c r="E300"/>
  <c r="E310"/>
  <c r="E23"/>
  <c r="E67"/>
  <c r="E144"/>
  <c r="E233"/>
  <c r="E381"/>
  <c r="E63"/>
  <c r="E520"/>
  <c r="E354"/>
  <c r="E516"/>
  <c r="E530"/>
  <c r="E157"/>
  <c r="E319"/>
  <c r="E586"/>
  <c r="R6"/>
  <c r="T10" i="1"/>
  <c r="T12"/>
  <c r="I116" i="43"/>
  <c r="J116" s="1"/>
  <c r="K116" s="1"/>
  <c r="L116" s="1"/>
  <c r="M116" s="1"/>
  <c r="E389" i="3"/>
  <c r="E385"/>
  <c r="E353"/>
  <c r="E12" i="6"/>
  <c r="E8"/>
  <c r="F27" s="1"/>
  <c r="H105" i="43"/>
  <c r="Q16" i="1"/>
  <c r="F28" i="12" s="1"/>
  <c r="C29" s="1"/>
  <c r="D28" s="1"/>
  <c r="C36" i="69"/>
  <c r="H107" i="43"/>
  <c r="T9" i="1"/>
  <c r="C101" i="43"/>
  <c r="C107" s="1"/>
  <c r="E22"/>
  <c r="D22" s="1"/>
  <c r="N101"/>
  <c r="F101"/>
  <c r="K101"/>
  <c r="E10" i="49"/>
  <c r="B7"/>
  <c r="A118" i="9"/>
  <c r="G16" i="1"/>
  <c r="J10" i="39" s="1"/>
  <c r="D19" i="53"/>
  <c r="B38" i="72" s="1"/>
  <c r="F10" i="39"/>
  <c r="AA10" s="1"/>
  <c r="K4" i="4"/>
  <c r="B46" i="48" s="1"/>
  <c r="B4" i="72" s="1"/>
  <c r="E11" i="49"/>
  <c r="E5"/>
  <c r="E8"/>
  <c r="B9"/>
  <c r="B5"/>
  <c r="B14"/>
  <c r="B22"/>
  <c r="E4"/>
  <c r="B6"/>
  <c r="E9"/>
  <c r="E21"/>
  <c r="B11"/>
  <c r="B13"/>
  <c r="E6"/>
  <c r="E7"/>
  <c r="B16"/>
  <c r="B10"/>
  <c r="B8" i="70"/>
  <c r="F63" i="67"/>
  <c r="C62" s="1"/>
  <c r="C34"/>
  <c r="B20" i="31"/>
  <c r="B7" i="70"/>
  <c r="F69" i="67"/>
  <c r="J20"/>
  <c r="F68"/>
  <c r="F66"/>
  <c r="N59"/>
  <c r="M59"/>
  <c r="L58"/>
  <c r="L59"/>
  <c r="F68" i="15"/>
  <c r="L58"/>
  <c r="M59"/>
  <c r="L59" s="1"/>
  <c r="N59"/>
  <c r="F65"/>
  <c r="C6"/>
  <c r="Q71" i="67"/>
  <c r="C27" i="15"/>
  <c r="F51"/>
  <c r="F64"/>
  <c r="L56" i="67"/>
  <c r="C27"/>
  <c r="F70"/>
  <c r="F71" i="15"/>
  <c r="F64" i="67"/>
  <c r="F65"/>
  <c r="I54" i="15"/>
  <c r="J57"/>
  <c r="J55" s="1"/>
  <c r="J58" s="1"/>
  <c r="Q50" s="1"/>
  <c r="Q71"/>
  <c r="F71" i="67"/>
  <c r="M7"/>
  <c r="F50"/>
  <c r="F66" i="15"/>
  <c r="F51" i="67"/>
  <c r="C49" s="1"/>
  <c r="C6"/>
  <c r="M7" i="15"/>
  <c r="J6" s="1"/>
  <c r="F50"/>
  <c r="B10" i="70"/>
  <c r="B11"/>
  <c r="B12"/>
  <c r="B13"/>
  <c r="B9"/>
  <c r="K1" i="73"/>
  <c r="B34" i="72"/>
  <c r="D17" i="53"/>
  <c r="B36" i="72" s="1"/>
  <c r="O7" i="1"/>
  <c r="P7" s="1"/>
  <c r="F58" i="33"/>
  <c r="G58" s="1"/>
  <c r="H58" s="1"/>
  <c r="I58" s="1"/>
  <c r="J58" s="1"/>
  <c r="K58" s="1"/>
  <c r="L58" s="1"/>
  <c r="M58" s="1"/>
  <c r="N58" s="1"/>
  <c r="O58" s="1"/>
  <c r="F7"/>
  <c r="D20" i="53"/>
  <c r="B40" i="72" s="1"/>
  <c r="D124" i="9"/>
  <c r="E65" i="40"/>
  <c r="F63"/>
  <c r="E57"/>
  <c r="E62" i="39"/>
  <c r="E13" i="6"/>
  <c r="E14"/>
  <c r="AZ587" i="3"/>
  <c r="F27" i="11"/>
  <c r="C29" s="1"/>
  <c r="D27" s="1"/>
  <c r="AR8" i="1"/>
  <c r="T8"/>
  <c r="D48" i="35"/>
  <c r="D52" i="37"/>
  <c r="E46" i="36"/>
  <c r="L109" i="43"/>
  <c r="L106"/>
  <c r="L107"/>
  <c r="L103"/>
  <c r="E69" i="3"/>
  <c r="E237"/>
  <c r="E114"/>
  <c r="E261"/>
  <c r="E278"/>
  <c r="E304"/>
  <c r="E415"/>
  <c r="E528"/>
  <c r="E563"/>
  <c r="E565"/>
  <c r="E395"/>
  <c r="E183"/>
  <c r="E172"/>
  <c r="E213"/>
  <c r="E260"/>
  <c r="E361"/>
  <c r="E445"/>
  <c r="E17"/>
  <c r="E550"/>
  <c r="E503"/>
  <c r="E535"/>
  <c r="E302"/>
  <c r="E329"/>
  <c r="E347"/>
  <c r="E583"/>
  <c r="E545"/>
  <c r="AA6"/>
  <c r="E567"/>
  <c r="E510"/>
  <c r="E399"/>
  <c r="E461"/>
  <c r="E336"/>
  <c r="E352"/>
  <c r="E280"/>
  <c r="E227"/>
  <c r="E246"/>
  <c r="E205"/>
  <c r="E124"/>
  <c r="E165"/>
  <c r="E293"/>
  <c r="E128"/>
  <c r="E270"/>
  <c r="E311"/>
  <c r="E358"/>
  <c r="E533"/>
  <c r="E514"/>
  <c r="S6"/>
  <c r="E570"/>
  <c r="E523"/>
  <c r="E551"/>
  <c r="E561"/>
  <c r="M6"/>
  <c r="E538"/>
  <c r="E418"/>
  <c r="E407"/>
  <c r="E439"/>
  <c r="E387"/>
  <c r="E380"/>
  <c r="E335"/>
  <c r="E294"/>
  <c r="E231"/>
  <c r="E215"/>
  <c r="E298"/>
  <c r="E230"/>
  <c r="E216"/>
  <c r="E189"/>
  <c r="E169"/>
  <c r="E130"/>
  <c r="E185"/>
  <c r="E134"/>
  <c r="E61"/>
  <c r="E254"/>
  <c r="E135"/>
  <c r="E91"/>
  <c r="E290"/>
  <c r="E221"/>
  <c r="E180"/>
  <c r="E117"/>
  <c r="E149"/>
  <c r="E207"/>
  <c r="E77"/>
  <c r="E252"/>
  <c r="E212"/>
  <c r="E271"/>
  <c r="E253"/>
  <c r="E204"/>
  <c r="E167"/>
  <c r="E145"/>
  <c r="E199"/>
  <c r="E164"/>
  <c r="E141"/>
  <c r="E107"/>
  <c r="E313"/>
  <c r="E369"/>
  <c r="E525"/>
  <c r="K6"/>
  <c r="E493"/>
  <c r="E532"/>
  <c r="E534"/>
  <c r="Q6"/>
  <c r="E564"/>
  <c r="E573"/>
  <c r="E560"/>
  <c r="E529"/>
  <c r="E405"/>
  <c r="E437"/>
  <c r="E427"/>
  <c r="E458"/>
  <c r="E456"/>
  <c r="E472"/>
  <c r="E486"/>
  <c r="E474"/>
  <c r="E469"/>
  <c r="E481"/>
  <c r="E507"/>
  <c r="E527"/>
  <c r="E512"/>
  <c r="E406"/>
  <c r="E422"/>
  <c r="E438"/>
  <c r="E408"/>
  <c r="E424"/>
  <c r="E440"/>
  <c r="E457"/>
  <c r="E451"/>
  <c r="E465"/>
  <c r="E490"/>
  <c r="E288"/>
  <c r="E376"/>
  <c r="E562"/>
  <c r="E556"/>
  <c r="AH6"/>
  <c r="W6"/>
  <c r="E497"/>
  <c r="E571"/>
  <c r="E13"/>
  <c r="E577"/>
  <c r="E498"/>
  <c r="E537"/>
  <c r="E429"/>
  <c r="E419"/>
  <c r="E450"/>
  <c r="E452"/>
  <c r="E468"/>
  <c r="E483"/>
  <c r="E471"/>
  <c r="E470"/>
  <c r="E496"/>
  <c r="E401"/>
  <c r="E433"/>
  <c r="E420"/>
  <c r="E454"/>
  <c r="E463"/>
  <c r="E475"/>
  <c r="E26"/>
  <c r="E55"/>
  <c r="E40"/>
  <c r="E72"/>
  <c r="E104"/>
  <c r="E106"/>
  <c r="E25"/>
  <c r="E54"/>
  <c r="E41"/>
  <c r="E73"/>
  <c r="E108"/>
  <c r="E111"/>
  <c r="E115"/>
  <c r="E146"/>
  <c r="E178"/>
  <c r="E168"/>
  <c r="E198"/>
  <c r="E203"/>
  <c r="E119"/>
  <c r="E150"/>
  <c r="E139"/>
  <c r="E171"/>
  <c r="E202"/>
  <c r="E208"/>
  <c r="E225"/>
  <c r="E256"/>
  <c r="E242"/>
  <c r="E279"/>
  <c r="E281"/>
  <c r="E214"/>
  <c r="E226"/>
  <c r="E257"/>
  <c r="E243"/>
  <c r="E274"/>
  <c r="E276"/>
  <c r="E351"/>
  <c r="E332"/>
  <c r="E315"/>
  <c r="E346"/>
  <c r="E357"/>
  <c r="E391"/>
  <c r="E333"/>
  <c r="E318"/>
  <c r="E356"/>
  <c r="E362"/>
  <c r="E372"/>
  <c r="E14"/>
  <c r="AL6"/>
  <c r="E580"/>
  <c r="E31"/>
  <c r="E42"/>
  <c r="E74"/>
  <c r="E60"/>
  <c r="E93"/>
  <c r="E94"/>
  <c r="E32"/>
  <c r="E43"/>
  <c r="E75"/>
  <c r="E488"/>
  <c r="E409"/>
  <c r="E428"/>
  <c r="E473"/>
  <c r="E482"/>
  <c r="E412"/>
  <c r="E455"/>
  <c r="E18"/>
  <c r="E79"/>
  <c r="E96"/>
  <c r="E38"/>
  <c r="E78"/>
  <c r="E100"/>
  <c r="E170"/>
  <c r="E190"/>
  <c r="E137"/>
  <c r="E174"/>
  <c r="E194"/>
  <c r="E220"/>
  <c r="E234"/>
  <c r="E275"/>
  <c r="E219"/>
  <c r="E235"/>
  <c r="E299"/>
  <c r="E324"/>
  <c r="E339"/>
  <c r="E325"/>
  <c r="E392"/>
  <c r="E522"/>
  <c r="AQ6"/>
  <c r="E35"/>
  <c r="E52"/>
  <c r="E86"/>
  <c r="E36"/>
  <c r="E34"/>
  <c r="E112"/>
  <c r="E49"/>
  <c r="E123"/>
  <c r="E206"/>
  <c r="E147"/>
  <c r="E232"/>
  <c r="E289"/>
  <c r="E251"/>
  <c r="E370"/>
  <c r="E364"/>
  <c r="AF6"/>
  <c r="E50"/>
  <c r="E102"/>
  <c r="E20"/>
  <c r="E80"/>
  <c r="E62"/>
  <c r="E113"/>
  <c r="E176"/>
  <c r="E158"/>
  <c r="E218"/>
  <c r="E287"/>
  <c r="E265"/>
  <c r="E326"/>
  <c r="E524"/>
  <c r="E22"/>
  <c r="E101"/>
  <c r="E83"/>
  <c r="S23" i="37"/>
  <c r="AA23"/>
  <c r="I54" i="67"/>
  <c r="J57"/>
  <c r="J55" s="1"/>
  <c r="J58" s="1"/>
  <c r="Q50" s="1"/>
  <c r="C102" i="43"/>
  <c r="B115"/>
  <c r="D117"/>
  <c r="E117" s="1"/>
  <c r="F117" s="1"/>
  <c r="G117" s="1"/>
  <c r="H117" s="1"/>
  <c r="I118"/>
  <c r="J118" s="1"/>
  <c r="K118" s="1"/>
  <c r="L118" s="1"/>
  <c r="M118" s="1"/>
  <c r="D118"/>
  <c r="E118" s="1"/>
  <c r="F118" s="1"/>
  <c r="D115"/>
  <c r="E115" s="1"/>
  <c r="F115" s="1"/>
  <c r="G115" s="1"/>
  <c r="H115" s="1"/>
  <c r="U33" i="34"/>
  <c r="AB33"/>
  <c r="AC39" i="39"/>
  <c r="W39"/>
  <c r="W27" i="36"/>
  <c r="AC27"/>
  <c r="AZ17" i="3"/>
  <c r="E393"/>
  <c r="E342"/>
  <c r="E344"/>
  <c r="E340"/>
  <c r="E394"/>
  <c r="E383"/>
  <c r="E360"/>
  <c r="E338"/>
  <c r="E330"/>
  <c r="E15"/>
  <c r="E494"/>
  <c r="E506"/>
  <c r="E161"/>
  <c r="E129"/>
  <c r="E390"/>
  <c r="E321"/>
  <c r="AB19" i="37"/>
  <c r="U19"/>
  <c r="BL497" i="3"/>
  <c r="AZ497" s="1"/>
  <c r="BQ5"/>
  <c r="F28" i="6" s="1"/>
  <c r="E539" i="3"/>
  <c r="E543"/>
  <c r="E559"/>
  <c r="W41" i="39"/>
  <c r="AC41"/>
  <c r="AZ585" i="3"/>
  <c r="W11" i="33"/>
  <c r="AC11"/>
  <c r="AC25" i="34"/>
  <c r="W25"/>
  <c r="U37"/>
  <c r="AB37"/>
  <c r="AB38"/>
  <c r="U38"/>
  <c r="AA22" i="35"/>
  <c r="S22"/>
  <c r="U34" i="39"/>
  <c r="AB34"/>
  <c r="AB40"/>
  <c r="U40"/>
  <c r="AA26" i="33"/>
  <c r="S26"/>
  <c r="S26" i="21"/>
  <c r="AA26"/>
  <c r="AB12"/>
  <c r="U12"/>
  <c r="W19"/>
  <c r="AC19"/>
  <c r="E587" i="3"/>
  <c r="AB6"/>
  <c r="X6"/>
  <c r="V6"/>
  <c r="T6"/>
  <c r="L6"/>
  <c r="AR6"/>
  <c r="AE6"/>
  <c r="BT5"/>
  <c r="BR5"/>
  <c r="BP5"/>
  <c r="E11" i="6" s="1"/>
  <c r="J45" i="21"/>
  <c r="F45"/>
  <c r="AA19"/>
  <c r="S19"/>
  <c r="AB8" i="35"/>
  <c r="U8"/>
  <c r="U12"/>
  <c r="AB12"/>
  <c r="AC28"/>
  <c r="W28"/>
  <c r="H36"/>
  <c r="J36"/>
  <c r="W25" i="36"/>
  <c r="AC25"/>
  <c r="E82" i="3"/>
  <c r="E373"/>
  <c r="E323"/>
  <c r="E222"/>
  <c r="E179"/>
  <c r="E154"/>
  <c r="E19"/>
  <c r="E51"/>
  <c r="Y6"/>
  <c r="E341"/>
  <c r="E284"/>
  <c r="E250"/>
  <c r="E127"/>
  <c r="E87"/>
  <c r="E48"/>
  <c r="E24"/>
  <c r="E66"/>
  <c r="E584"/>
  <c r="E386"/>
  <c r="E307"/>
  <c r="E266"/>
  <c r="E209"/>
  <c r="E248"/>
  <c r="E163"/>
  <c r="E195"/>
  <c r="E138"/>
  <c r="E65"/>
  <c r="E98"/>
  <c r="E47"/>
  <c r="E446"/>
  <c r="E521"/>
  <c r="E462"/>
  <c r="E540"/>
  <c r="E59"/>
  <c r="E110"/>
  <c r="E76"/>
  <c r="E58"/>
  <c r="E544"/>
  <c r="E504"/>
  <c r="E375"/>
  <c r="E349"/>
  <c r="E378"/>
  <c r="E363"/>
  <c r="E348"/>
  <c r="E292"/>
  <c r="E259"/>
  <c r="E241"/>
  <c r="E297"/>
  <c r="E258"/>
  <c r="E240"/>
  <c r="E192"/>
  <c r="E155"/>
  <c r="E132"/>
  <c r="E187"/>
  <c r="E152"/>
  <c r="E131"/>
  <c r="E95"/>
  <c r="E57"/>
  <c r="E37"/>
  <c r="E90"/>
  <c r="E56"/>
  <c r="E39"/>
  <c r="E479"/>
  <c r="E436"/>
  <c r="E417"/>
  <c r="E491"/>
  <c r="E460"/>
  <c r="E435"/>
  <c r="E413"/>
  <c r="E517"/>
  <c r="E582"/>
  <c r="E554"/>
  <c r="E500"/>
  <c r="AP6"/>
  <c r="E566"/>
  <c r="I3" i="6"/>
  <c r="E374" i="3"/>
  <c r="E255"/>
  <c r="E459"/>
  <c r="E449"/>
  <c r="E416"/>
  <c r="E430"/>
  <c r="E398"/>
  <c r="E541"/>
  <c r="E487"/>
  <c r="E466"/>
  <c r="E464"/>
  <c r="E442"/>
  <c r="E421"/>
  <c r="E502"/>
  <c r="E552"/>
  <c r="E542"/>
  <c r="E499"/>
  <c r="AD6"/>
  <c r="E575"/>
  <c r="E312"/>
  <c r="E286"/>
  <c r="E133"/>
  <c r="E193"/>
  <c r="E177"/>
  <c r="E224"/>
  <c r="E277"/>
  <c r="E45"/>
  <c r="E120"/>
  <c r="L104" i="43"/>
  <c r="L102"/>
  <c r="E181" i="3"/>
  <c r="E228"/>
  <c r="E188"/>
  <c r="E99"/>
  <c r="E191"/>
  <c r="E159"/>
  <c r="E245"/>
  <c r="E301"/>
  <c r="E263"/>
  <c r="E303"/>
  <c r="E382"/>
  <c r="E350"/>
  <c r="E423"/>
  <c r="E402"/>
  <c r="E578"/>
  <c r="AI6"/>
  <c r="AN6"/>
  <c r="E518"/>
  <c r="E495"/>
  <c r="E151"/>
  <c r="E201"/>
  <c r="E229"/>
  <c r="E247"/>
  <c r="E396"/>
  <c r="E431"/>
  <c r="E569"/>
  <c r="E579"/>
  <c r="E509"/>
  <c r="E239"/>
  <c r="W17" i="33"/>
  <c r="S25"/>
  <c r="AC32"/>
  <c r="AA19" i="37"/>
  <c r="S9" i="35"/>
  <c r="E328" i="3"/>
  <c r="E508"/>
  <c r="E426"/>
  <c r="E305"/>
  <c r="E153"/>
  <c r="E343"/>
  <c r="E501"/>
  <c r="E175"/>
  <c r="E53"/>
  <c r="C48" i="11"/>
  <c r="C30"/>
  <c r="P6" i="1"/>
  <c r="AA13" i="21"/>
  <c r="S13"/>
  <c r="H45"/>
  <c r="W35" i="34"/>
  <c r="W36" i="37"/>
  <c r="AA13" i="36"/>
  <c r="P11" i="1"/>
  <c r="D58" i="21"/>
  <c r="D59" i="34"/>
  <c r="C70" i="39"/>
  <c r="D68"/>
  <c r="C16" i="43"/>
  <c r="C5" s="1"/>
  <c r="C109"/>
  <c r="B117"/>
  <c r="C117" s="1"/>
  <c r="B118"/>
  <c r="C118" s="1"/>
  <c r="G118"/>
  <c r="H118" s="1"/>
  <c r="D116"/>
  <c r="E116" s="1"/>
  <c r="F116" s="1"/>
  <c r="G116" s="1"/>
  <c r="H116" s="1"/>
  <c r="H102"/>
  <c r="H103"/>
  <c r="H104"/>
  <c r="H109"/>
  <c r="I115"/>
  <c r="J115" s="1"/>
  <c r="K115" s="1"/>
  <c r="L115" s="1"/>
  <c r="M115" s="1"/>
  <c r="D9" i="11"/>
  <c r="C9" s="1"/>
  <c r="S23" i="21"/>
  <c r="AA23"/>
  <c r="W15"/>
  <c r="AC15"/>
  <c r="S11" i="37"/>
  <c r="AA11"/>
  <c r="U32"/>
  <c r="AC30" i="35"/>
  <c r="AB27" i="36"/>
  <c r="F53" i="9"/>
  <c r="F52"/>
  <c r="M18" i="67"/>
  <c r="F28" i="15"/>
  <c r="C28" s="1"/>
  <c r="F54" i="9"/>
  <c r="AQ11" i="1"/>
  <c r="T11"/>
  <c r="AR11"/>
  <c r="P12"/>
  <c r="S32" i="36"/>
  <c r="J104" i="43"/>
  <c r="J105"/>
  <c r="J103"/>
  <c r="J106"/>
  <c r="J109"/>
  <c r="G103"/>
  <c r="P9" i="1"/>
  <c r="AA32" i="37"/>
  <c r="S32"/>
  <c r="AA27" i="36"/>
  <c r="S27"/>
  <c r="H52" i="43"/>
  <c r="H49"/>
  <c r="H53"/>
  <c r="H51"/>
  <c r="E15" i="6"/>
  <c r="E10"/>
  <c r="AZ334" i="3"/>
  <c r="E320"/>
  <c r="E308"/>
  <c r="E365"/>
  <c r="AZ351"/>
  <c r="W15" i="39"/>
  <c r="AC15"/>
  <c r="AB21" i="40"/>
  <c r="U21"/>
  <c r="S12" i="37"/>
  <c r="AA12"/>
  <c r="W12"/>
  <c r="AC12"/>
  <c r="AB9"/>
  <c r="U9"/>
  <c r="F36" i="35"/>
  <c r="W23"/>
  <c r="AA39" i="33"/>
  <c r="S39"/>
  <c r="E519" i="3"/>
  <c r="AZ521"/>
  <c r="AZ508"/>
  <c r="AC14" i="39"/>
  <c r="W14"/>
  <c r="AB46" i="33"/>
  <c r="U46"/>
  <c r="AC46"/>
  <c r="W46"/>
  <c r="AC44"/>
  <c r="W44"/>
  <c r="AC40" i="37"/>
  <c r="W40"/>
  <c r="U37"/>
  <c r="AB37"/>
  <c r="AA11" i="36"/>
  <c r="S11"/>
  <c r="AC11"/>
  <c r="W11"/>
  <c r="AB32"/>
  <c r="U32"/>
  <c r="W26"/>
  <c r="AC26"/>
  <c r="AC11" i="35"/>
  <c r="W11"/>
  <c r="W32" i="34"/>
  <c r="AC32"/>
  <c r="W30"/>
  <c r="AC30"/>
  <c r="W45" i="33"/>
  <c r="AC45"/>
  <c r="AB31"/>
  <c r="U31"/>
  <c r="S29"/>
  <c r="AA29"/>
  <c r="AC29"/>
  <c r="W29"/>
  <c r="AC33" i="35"/>
  <c r="W33"/>
  <c r="W28" i="33"/>
  <c r="AC28"/>
  <c r="U28"/>
  <c r="AB28"/>
  <c r="AA44" i="34"/>
  <c r="S44"/>
  <c r="AA23" i="40"/>
  <c r="S23"/>
  <c r="AA36"/>
  <c r="S36"/>
  <c r="U16" i="35"/>
  <c r="AB16"/>
  <c r="AC32"/>
  <c r="W32"/>
  <c r="U27" i="39"/>
  <c r="AB27"/>
  <c r="AA21" i="40"/>
  <c r="S21"/>
  <c r="AA19" i="39"/>
  <c r="S19"/>
  <c r="BL585" i="3"/>
  <c r="BL5" s="1"/>
  <c r="J6"/>
  <c r="S12" i="21"/>
  <c r="AA12"/>
  <c r="J14"/>
  <c r="F14"/>
  <c r="H14"/>
  <c r="H30"/>
  <c r="F30"/>
  <c r="J30"/>
  <c r="AA40"/>
  <c r="S40"/>
  <c r="B71" i="43"/>
  <c r="C21" i="39"/>
  <c r="B60" i="43"/>
  <c r="B74"/>
  <c r="B65"/>
  <c r="B81"/>
  <c r="C15" i="40"/>
  <c r="B85" i="43"/>
  <c r="C23" i="40"/>
  <c r="F9" i="21"/>
  <c r="J9"/>
  <c r="AC40" i="33"/>
  <c r="W40"/>
  <c r="J9" i="34"/>
  <c r="H9"/>
  <c r="F9"/>
  <c r="F28"/>
  <c r="J28"/>
  <c r="H28"/>
  <c r="U23" i="35"/>
  <c r="AB23"/>
  <c r="AB12" i="37"/>
  <c r="U12"/>
  <c r="AZ511" i="3"/>
  <c r="AZ515"/>
  <c r="AZ519"/>
  <c r="AZ565"/>
  <c r="AZ569"/>
  <c r="AZ573"/>
  <c r="AZ577"/>
  <c r="AZ583"/>
  <c r="AZ558"/>
  <c r="U13" i="34"/>
  <c r="AB13"/>
  <c r="S44" i="33"/>
  <c r="AA44"/>
  <c r="S14"/>
  <c r="AA14"/>
  <c r="U11" i="36"/>
  <c r="AB11"/>
  <c r="AA45" i="33"/>
  <c r="S45"/>
  <c r="S13"/>
  <c r="AA13"/>
  <c r="U26"/>
  <c r="AB26"/>
  <c r="AB30" i="35"/>
  <c r="U30"/>
  <c r="W33" i="36"/>
  <c r="AC33"/>
  <c r="BL586" i="3"/>
  <c r="BA586"/>
  <c r="H28" i="21"/>
  <c r="F28"/>
  <c r="J28"/>
  <c r="H31"/>
  <c r="J31"/>
  <c r="F31"/>
  <c r="B77" i="43"/>
  <c r="C25" i="39"/>
  <c r="W12" i="34"/>
  <c r="AC12"/>
  <c r="W8" i="35"/>
  <c r="AC8"/>
  <c r="S12"/>
  <c r="AA12"/>
  <c r="J24"/>
  <c r="F24"/>
  <c r="H24"/>
  <c r="J34"/>
  <c r="H34"/>
  <c r="F34"/>
  <c r="AC26" i="37"/>
  <c r="W26"/>
  <c r="H43" i="39"/>
  <c r="F43"/>
  <c r="J13" i="37"/>
  <c r="F13"/>
  <c r="H25" i="36"/>
  <c r="F25"/>
  <c r="S10" i="37"/>
  <c r="AB8" i="36"/>
  <c r="F33"/>
  <c r="J34"/>
  <c r="F31" i="39"/>
  <c r="U9" i="36"/>
  <c r="U9" i="39"/>
  <c r="J45"/>
  <c r="F45"/>
  <c r="F26" i="37"/>
  <c r="AZ399" i="3"/>
  <c r="AZ404"/>
  <c r="AZ411"/>
  <c r="AZ414"/>
  <c r="AZ421"/>
  <c r="AZ423"/>
  <c r="AZ427"/>
  <c r="AZ430"/>
  <c r="AZ440"/>
  <c r="AZ449"/>
  <c r="AZ453"/>
  <c r="AZ455"/>
  <c r="AZ460"/>
  <c r="AZ471"/>
  <c r="AZ476"/>
  <c r="AZ478"/>
  <c r="AZ484"/>
  <c r="AZ492"/>
  <c r="AZ395"/>
  <c r="AZ208"/>
  <c r="AZ211"/>
  <c r="AZ212"/>
  <c r="AZ220"/>
  <c r="AZ225"/>
  <c r="AZ228"/>
  <c r="AZ247"/>
  <c r="AZ255"/>
  <c r="AZ260"/>
  <c r="AZ274"/>
  <c r="AZ285"/>
  <c r="AZ293"/>
  <c r="AZ298"/>
  <c r="AZ153"/>
  <c r="AZ185"/>
  <c r="AZ207"/>
  <c r="AZ22"/>
  <c r="AZ25"/>
  <c r="AZ36"/>
  <c r="AZ46"/>
  <c r="AZ56"/>
  <c r="AZ60"/>
  <c r="AZ73"/>
  <c r="AZ87"/>
  <c r="AZ95"/>
  <c r="AZ100"/>
  <c r="D18" i="71"/>
  <c r="C19"/>
  <c r="D14"/>
  <c r="C15"/>
  <c r="S11"/>
  <c r="B10"/>
  <c r="B9" s="1"/>
  <c r="D34"/>
  <c r="C35"/>
  <c r="C47"/>
  <c r="D46"/>
  <c r="M100" i="43"/>
  <c r="I100"/>
  <c r="E100"/>
  <c r="D24" i="67"/>
  <c r="D23"/>
  <c r="F13" i="71"/>
  <c r="F14" s="1"/>
  <c r="F15" s="1"/>
  <c r="V15" s="1"/>
  <c r="E6"/>
  <c r="E5" s="1"/>
  <c r="V7"/>
  <c r="S18" i="35"/>
  <c r="S29" i="39"/>
  <c r="C29"/>
  <c r="B66" i="43"/>
  <c r="V11" i="71"/>
  <c r="AA11"/>
  <c r="AA9"/>
  <c r="AA3"/>
  <c r="AB11"/>
  <c r="AB9"/>
  <c r="AA7"/>
  <c r="D17"/>
  <c r="X3"/>
  <c r="X9"/>
  <c r="Y11"/>
  <c r="Z11" s="1"/>
  <c r="Y10"/>
  <c r="Z10" s="1"/>
  <c r="Y9"/>
  <c r="Z9" s="1"/>
  <c r="Y8"/>
  <c r="Z8" s="1"/>
  <c r="Y3"/>
  <c r="Z3" s="1"/>
  <c r="X18"/>
  <c r="X17"/>
  <c r="AA15"/>
  <c r="AA14"/>
  <c r="AA16"/>
  <c r="AA20"/>
  <c r="AB7"/>
  <c r="B50"/>
  <c r="AC12" i="43"/>
  <c r="AC13" s="1"/>
  <c r="AC10"/>
  <c r="AG12"/>
  <c r="AG13" s="1"/>
  <c r="AG10"/>
  <c r="P61" i="67"/>
  <c r="P74"/>
  <c r="X6" i="71"/>
  <c r="B7"/>
  <c r="X7"/>
  <c r="X5"/>
  <c r="Y5"/>
  <c r="Z5" s="1"/>
  <c r="AB5"/>
  <c r="AA6"/>
  <c r="Z12" i="43"/>
  <c r="Z13" s="1"/>
  <c r="Z10"/>
  <c r="AD12"/>
  <c r="AD13" s="1"/>
  <c r="AD10"/>
  <c r="AH12"/>
  <c r="AH13" s="1"/>
  <c r="AH10"/>
  <c r="C7" i="71"/>
  <c r="Y7"/>
  <c r="Z7" s="1"/>
  <c r="AA5"/>
  <c r="Y6"/>
  <c r="Z6" s="1"/>
  <c r="AB6"/>
  <c r="F59" i="67"/>
  <c r="M17" i="15"/>
  <c r="M17" i="67"/>
  <c r="F59" i="15"/>
  <c r="F34" i="68"/>
  <c r="C14" i="67"/>
  <c r="C36" i="68"/>
  <c r="C16" i="15"/>
  <c r="C17" i="67"/>
  <c r="F27" i="68"/>
  <c r="D3" i="73"/>
  <c r="D5"/>
  <c r="D4"/>
  <c r="F4"/>
  <c r="D9" i="68"/>
  <c r="F6" i="73"/>
  <c r="D7"/>
  <c r="C16" i="67"/>
  <c r="F7" i="73"/>
  <c r="D6"/>
  <c r="AC31" i="39" l="1"/>
  <c r="W31"/>
  <c r="AB32"/>
  <c r="U32"/>
  <c r="G105" i="43"/>
  <c r="C106"/>
  <c r="J10" i="40"/>
  <c r="F27" i="69"/>
  <c r="C29" s="1"/>
  <c r="D27" s="1"/>
  <c r="C103" i="43"/>
  <c r="C105"/>
  <c r="C104"/>
  <c r="H10" i="39"/>
  <c r="AB10" s="1"/>
  <c r="H10" i="40"/>
  <c r="S10" i="39"/>
  <c r="C30" i="69"/>
  <c r="E20" i="43"/>
  <c r="N17" s="1"/>
  <c r="AC6" i="3"/>
  <c r="G104" i="43"/>
  <c r="G106"/>
  <c r="G107"/>
  <c r="G109"/>
  <c r="Q52" i="15"/>
  <c r="F1"/>
  <c r="L56"/>
  <c r="C47" i="68"/>
  <c r="D45" s="1"/>
  <c r="AC25" i="39"/>
  <c r="W25"/>
  <c r="AC17"/>
  <c r="W17"/>
  <c r="AB17"/>
  <c r="U17"/>
  <c r="F17"/>
  <c r="G91"/>
  <c r="C29" i="68"/>
  <c r="D27" s="1"/>
  <c r="H6" i="3"/>
  <c r="E6" s="1"/>
  <c r="E51" i="40"/>
  <c r="E56" i="39"/>
  <c r="K103" i="43"/>
  <c r="K102"/>
  <c r="K106"/>
  <c r="K109"/>
  <c r="K107"/>
  <c r="K104"/>
  <c r="K105"/>
  <c r="N102"/>
  <c r="N103"/>
  <c r="N106"/>
  <c r="N107"/>
  <c r="N109"/>
  <c r="N105"/>
  <c r="N104"/>
  <c r="F104"/>
  <c r="F102"/>
  <c r="F105"/>
  <c r="F109"/>
  <c r="F107"/>
  <c r="F106"/>
  <c r="F103"/>
  <c r="F10" i="40"/>
  <c r="AA10" s="1"/>
  <c r="H7" i="33"/>
  <c r="J7"/>
  <c r="AC10" i="39"/>
  <c r="W10"/>
  <c r="I1" i="73"/>
  <c r="B39" i="1" s="1"/>
  <c r="C18" i="67"/>
  <c r="C15"/>
  <c r="T35" i="71"/>
  <c r="D35"/>
  <c r="T15"/>
  <c r="D15"/>
  <c r="T19"/>
  <c r="D19"/>
  <c r="AA45" i="39"/>
  <c r="S45"/>
  <c r="AA31"/>
  <c r="S31"/>
  <c r="AA33" i="36"/>
  <c r="S33"/>
  <c r="AB25"/>
  <c r="U25"/>
  <c r="AC13" i="37"/>
  <c r="W13"/>
  <c r="AB43" i="39"/>
  <c r="U43"/>
  <c r="AB34" i="35"/>
  <c r="U34"/>
  <c r="U24"/>
  <c r="AB24"/>
  <c r="AC24"/>
  <c r="W24"/>
  <c r="AC31" i="21"/>
  <c r="W31"/>
  <c r="AC28"/>
  <c r="W28"/>
  <c r="U28"/>
  <c r="AB28"/>
  <c r="W28" i="34"/>
  <c r="AC28"/>
  <c r="AA9"/>
  <c r="S9"/>
  <c r="W9"/>
  <c r="AC9"/>
  <c r="AA9" i="21"/>
  <c r="S9"/>
  <c r="AC30"/>
  <c r="W30"/>
  <c r="U30"/>
  <c r="AB30"/>
  <c r="S14"/>
  <c r="AA14"/>
  <c r="S36" i="35"/>
  <c r="AA36"/>
  <c r="E65" i="39"/>
  <c r="E60" i="40"/>
  <c r="C9" i="68"/>
  <c r="D70" i="39"/>
  <c r="E68"/>
  <c r="E58" i="21"/>
  <c r="W36" i="35"/>
  <c r="AC36"/>
  <c r="AA45" i="21"/>
  <c r="S45"/>
  <c r="E61" i="39"/>
  <c r="E56" i="40"/>
  <c r="F30" i="6"/>
  <c r="F31" s="1"/>
  <c r="F46" i="36"/>
  <c r="E48" i="35"/>
  <c r="AC10" i="40"/>
  <c r="W10"/>
  <c r="E58"/>
  <c r="E63" i="39"/>
  <c r="U7" i="33"/>
  <c r="AB7"/>
  <c r="T48" s="1"/>
  <c r="G48" s="1"/>
  <c r="W7"/>
  <c r="AC7"/>
  <c r="V48" s="1"/>
  <c r="I48" s="1"/>
  <c r="C49" i="15"/>
  <c r="Q73"/>
  <c r="Q60"/>
  <c r="Q74" i="67"/>
  <c r="Q61"/>
  <c r="C6" i="71"/>
  <c r="T7"/>
  <c r="D7"/>
  <c r="U7" s="1"/>
  <c r="B6"/>
  <c r="B5" s="1"/>
  <c r="S7"/>
  <c r="N50"/>
  <c r="B49"/>
  <c r="T47"/>
  <c r="D47"/>
  <c r="AA26" i="37"/>
  <c r="S26"/>
  <c r="W45" i="39"/>
  <c r="AC45"/>
  <c r="AC34" i="36"/>
  <c r="W34"/>
  <c r="AA25"/>
  <c r="S25"/>
  <c r="S13" i="37"/>
  <c r="AA13"/>
  <c r="AA43" i="39"/>
  <c r="S43"/>
  <c r="S34" i="35"/>
  <c r="AA34"/>
  <c r="AC34"/>
  <c r="W34"/>
  <c r="AA24"/>
  <c r="S24"/>
  <c r="AA31" i="21"/>
  <c r="S31"/>
  <c r="AB31"/>
  <c r="U31"/>
  <c r="AA28"/>
  <c r="S28"/>
  <c r="AZ586" i="3"/>
  <c r="AZ5" s="1"/>
  <c r="BA5"/>
  <c r="E27" i="6" s="1"/>
  <c r="AB28" i="34"/>
  <c r="U28"/>
  <c r="AA28"/>
  <c r="S28"/>
  <c r="U9"/>
  <c r="AB9"/>
  <c r="W9" i="21"/>
  <c r="AC9"/>
  <c r="S30"/>
  <c r="AA30"/>
  <c r="U14"/>
  <c r="AB14"/>
  <c r="W14"/>
  <c r="AC14"/>
  <c r="E16" i="6"/>
  <c r="E59" i="34"/>
  <c r="U45" i="21"/>
  <c r="AB45"/>
  <c r="AB36" i="35"/>
  <c r="U36"/>
  <c r="W45" i="21"/>
  <c r="AC45"/>
  <c r="G28" i="6"/>
  <c r="C47" i="11"/>
  <c r="D45" s="1"/>
  <c r="C115" i="43"/>
  <c r="D113" s="1"/>
  <c r="E52" i="37"/>
  <c r="U10" i="39"/>
  <c r="AB10" i="40"/>
  <c r="U10"/>
  <c r="G29" i="6"/>
  <c r="E29" s="1"/>
  <c r="K15" i="1" s="1"/>
  <c r="E64" i="39"/>
  <c r="E59" i="40"/>
  <c r="G63"/>
  <c r="F65"/>
  <c r="D10" i="52"/>
  <c r="D125" i="9"/>
  <c r="D11" i="52" s="1"/>
  <c r="H14" i="74"/>
  <c r="B7" s="1"/>
  <c r="AA7" i="33"/>
  <c r="R48" s="1"/>
  <c r="S7"/>
  <c r="J6" i="67"/>
  <c r="Q61" i="15"/>
  <c r="Q74"/>
  <c r="Q60" i="67"/>
  <c r="Q73"/>
  <c r="AE6" i="1"/>
  <c r="G1" i="73"/>
  <c r="C47" i="69" l="1"/>
  <c r="D45" s="1"/>
  <c r="P17" i="43"/>
  <c r="M17"/>
  <c r="O17"/>
  <c r="B40" i="1"/>
  <c r="F22" i="11" s="1"/>
  <c r="AA17" i="39"/>
  <c r="S17"/>
  <c r="S5" i="43"/>
  <c r="S2"/>
  <c r="S6"/>
  <c r="S4"/>
  <c r="S3"/>
  <c r="S7"/>
  <c r="C23"/>
  <c r="C21" s="1"/>
  <c r="S10" i="40"/>
  <c r="C19" i="67"/>
  <c r="C20" s="1"/>
  <c r="C26" s="1"/>
  <c r="AY6" i="3"/>
  <c r="E3" i="6"/>
  <c r="H63" i="40"/>
  <c r="G65"/>
  <c r="F52" i="37"/>
  <c r="G52" s="1"/>
  <c r="H52" s="1"/>
  <c r="I52" s="1"/>
  <c r="J52" s="1"/>
  <c r="K52" s="1"/>
  <c r="L52" s="1"/>
  <c r="M52" s="1"/>
  <c r="N52" s="1"/>
  <c r="O52" s="1"/>
  <c r="H7"/>
  <c r="F59" i="34"/>
  <c r="G59" s="1"/>
  <c r="H59" s="1"/>
  <c r="I59" s="1"/>
  <c r="J59" s="1"/>
  <c r="K59" s="1"/>
  <c r="L59" s="1"/>
  <c r="M59" s="1"/>
  <c r="N59" s="1"/>
  <c r="O59" s="1"/>
  <c r="J7"/>
  <c r="F48" i="35"/>
  <c r="G46" i="36"/>
  <c r="H46" s="1"/>
  <c r="I46" s="1"/>
  <c r="J46" s="1"/>
  <c r="K46" s="1"/>
  <c r="L46" s="1"/>
  <c r="M46" s="1"/>
  <c r="N46" s="1"/>
  <c r="O46" s="1"/>
  <c r="F68" i="39"/>
  <c r="E70"/>
  <c r="R49" i="33"/>
  <c r="E48"/>
  <c r="F7" i="37"/>
  <c r="G30" i="6"/>
  <c r="G31" s="1"/>
  <c r="N48" i="71"/>
  <c r="N49"/>
  <c r="C5"/>
  <c r="D5" s="1"/>
  <c r="D6"/>
  <c r="I52" i="33"/>
  <c r="J52" s="1"/>
  <c r="I53"/>
  <c r="J53" s="1"/>
  <c r="G52"/>
  <c r="H52" s="1"/>
  <c r="G53"/>
  <c r="H53" s="1"/>
  <c r="E28" i="6"/>
  <c r="F58" i="21"/>
  <c r="M11" i="15"/>
  <c r="J10" s="1"/>
  <c r="J5" s="1"/>
  <c r="F11" i="67"/>
  <c r="F11" i="15"/>
  <c r="M11" i="67"/>
  <c r="J10" s="1"/>
  <c r="J5" s="1"/>
  <c r="F41" i="15"/>
  <c r="F24" l="1"/>
  <c r="C24" s="1"/>
  <c r="F22" i="68"/>
  <c r="C26" s="1"/>
  <c r="D22" s="1"/>
  <c r="F22" i="69"/>
  <c r="C44" s="1"/>
  <c r="D41" s="1"/>
  <c r="F24" i="67"/>
  <c r="C24" s="1"/>
  <c r="F25" i="12"/>
  <c r="C26" s="1"/>
  <c r="D25" s="1"/>
  <c r="F69" i="15"/>
  <c r="J7" i="37"/>
  <c r="C53" i="15"/>
  <c r="C48" s="1"/>
  <c r="C10"/>
  <c r="C5" s="1"/>
  <c r="J18"/>
  <c r="J26"/>
  <c r="J29" s="1"/>
  <c r="J24"/>
  <c r="C26" i="69"/>
  <c r="D22" s="1"/>
  <c r="G58" i="21"/>
  <c r="H58" s="1"/>
  <c r="I58" s="1"/>
  <c r="J58" s="1"/>
  <c r="K58" s="1"/>
  <c r="L58" s="1"/>
  <c r="M58" s="1"/>
  <c r="N58" s="1"/>
  <c r="O58" s="1"/>
  <c r="J7"/>
  <c r="F7"/>
  <c r="K20" i="6"/>
  <c r="M20" s="1"/>
  <c r="I20" s="1"/>
  <c r="S20" s="1"/>
  <c r="K24"/>
  <c r="M24" s="1"/>
  <c r="I24" s="1"/>
  <c r="S24" s="1"/>
  <c r="K14" i="1"/>
  <c r="K26" i="6"/>
  <c r="M26" s="1"/>
  <c r="I26" s="1"/>
  <c r="S26" s="1"/>
  <c r="K19"/>
  <c r="S6" i="1" s="1"/>
  <c r="E30" i="6"/>
  <c r="E31" s="1"/>
  <c r="K21"/>
  <c r="M21" s="1"/>
  <c r="I21" s="1"/>
  <c r="S21" s="1"/>
  <c r="K22"/>
  <c r="M22" s="1"/>
  <c r="I22" s="1"/>
  <c r="S22" s="1"/>
  <c r="K25"/>
  <c r="M25" s="1"/>
  <c r="I25" s="1"/>
  <c r="S25" s="1"/>
  <c r="K23"/>
  <c r="M23" s="1"/>
  <c r="I23" s="1"/>
  <c r="S23" s="1"/>
  <c r="S7" i="37"/>
  <c r="AA7"/>
  <c r="R42" s="1"/>
  <c r="C48" i="33"/>
  <c r="C49"/>
  <c r="F70" i="39"/>
  <c r="G68"/>
  <c r="G48" i="35"/>
  <c r="AC7" i="34"/>
  <c r="V49" s="1"/>
  <c r="I49" s="1"/>
  <c r="W7"/>
  <c r="AC7" i="37"/>
  <c r="V42" s="1"/>
  <c r="I42" s="1"/>
  <c r="W7"/>
  <c r="J18" i="67"/>
  <c r="J24"/>
  <c r="J26"/>
  <c r="J29" s="1"/>
  <c r="D3" i="34"/>
  <c r="D3" i="33"/>
  <c r="E6" i="6"/>
  <c r="C17" i="4"/>
  <c r="B4" i="52" s="1"/>
  <c r="B43" i="72" s="1"/>
  <c r="L18" i="9"/>
  <c r="D3" i="37"/>
  <c r="D37" i="11"/>
  <c r="C37" s="1"/>
  <c r="D3" i="21"/>
  <c r="M18" i="9"/>
  <c r="B118" s="1"/>
  <c r="B14" i="74" s="1"/>
  <c r="D19" i="11"/>
  <c r="C19" s="1"/>
  <c r="D14" i="12"/>
  <c r="C53" i="67"/>
  <c r="C48" s="1"/>
  <c r="C10"/>
  <c r="C5" s="1"/>
  <c r="C23" i="11"/>
  <c r="C26"/>
  <c r="D22" s="1"/>
  <c r="C44"/>
  <c r="D41" s="1"/>
  <c r="H7" i="21"/>
  <c r="J7" i="36"/>
  <c r="H7" i="34"/>
  <c r="F7" i="36"/>
  <c r="E53" i="33"/>
  <c r="F53" s="1"/>
  <c r="E52"/>
  <c r="F52" s="1"/>
  <c r="H7" i="36"/>
  <c r="M20" i="43"/>
  <c r="C19" s="1"/>
  <c r="F7" i="34"/>
  <c r="U7" i="37"/>
  <c r="AB7"/>
  <c r="T42" s="1"/>
  <c r="G42" s="1"/>
  <c r="I63" i="40"/>
  <c r="H65"/>
  <c r="C23" i="67"/>
  <c r="AY87" i="3"/>
  <c r="AY83"/>
  <c r="AY51"/>
  <c r="AY66"/>
  <c r="AY34"/>
  <c r="AY23"/>
  <c r="AY207"/>
  <c r="AY176"/>
  <c r="AY144"/>
  <c r="AY155"/>
  <c r="AY124"/>
  <c r="AY115"/>
  <c r="AY95"/>
  <c r="AY59"/>
  <c r="AY42"/>
  <c r="AY188"/>
  <c r="AY152"/>
  <c r="AY131"/>
  <c r="AY281"/>
  <c r="AY276"/>
  <c r="AY111"/>
  <c r="AY58"/>
  <c r="AY168"/>
  <c r="AY297"/>
  <c r="AY253"/>
  <c r="AY268"/>
  <c r="AY236"/>
  <c r="AY225"/>
  <c r="AY382"/>
  <c r="AY371"/>
  <c r="AY366"/>
  <c r="AY335"/>
  <c r="AY303"/>
  <c r="AY318"/>
  <c r="AY473"/>
  <c r="AY470"/>
  <c r="AY460"/>
  <c r="AY428"/>
  <c r="AY441"/>
  <c r="AY409"/>
  <c r="AY529"/>
  <c r="AY106"/>
  <c r="AY26"/>
  <c r="AY180"/>
  <c r="AY300"/>
  <c r="AY245"/>
  <c r="AY260"/>
  <c r="AY228"/>
  <c r="AY217"/>
  <c r="AY395"/>
  <c r="AY372"/>
  <c r="AY358"/>
  <c r="AY327"/>
  <c r="AY342"/>
  <c r="AY310"/>
  <c r="AY465"/>
  <c r="AY463"/>
  <c r="AY452"/>
  <c r="AY420"/>
  <c r="AY433"/>
  <c r="AY401"/>
  <c r="AY513"/>
  <c r="AY549"/>
  <c r="BK6"/>
  <c r="AY544"/>
  <c r="AY569"/>
  <c r="AY533"/>
  <c r="AY541"/>
  <c r="BE6"/>
  <c r="AY553"/>
  <c r="AY97"/>
  <c r="AY108"/>
  <c r="AY92"/>
  <c r="AY77"/>
  <c r="AY61"/>
  <c r="AY45"/>
  <c r="AY76"/>
  <c r="AY60"/>
  <c r="AY44"/>
  <c r="AY28"/>
  <c r="AY33"/>
  <c r="AY206"/>
  <c r="AY190"/>
  <c r="AY201"/>
  <c r="AY185"/>
  <c r="AY170"/>
  <c r="AY154"/>
  <c r="AY138"/>
  <c r="AY165"/>
  <c r="AY149"/>
  <c r="AY133"/>
  <c r="AY118"/>
  <c r="AY125"/>
  <c r="AY299"/>
  <c r="AY283"/>
  <c r="AY294"/>
  <c r="AY278"/>
  <c r="AY263"/>
  <c r="AY247"/>
  <c r="AY231"/>
  <c r="AY262"/>
  <c r="AY246"/>
  <c r="AY230"/>
  <c r="AY214"/>
  <c r="AY219"/>
  <c r="AY392"/>
  <c r="AY397"/>
  <c r="AY381"/>
  <c r="AY374"/>
  <c r="AY357"/>
  <c r="AY360"/>
  <c r="AY554"/>
  <c r="BH6"/>
  <c r="BJ6"/>
  <c r="AY109"/>
  <c r="AY104"/>
  <c r="AY73"/>
  <c r="AY41"/>
  <c r="AY56"/>
  <c r="AY24"/>
  <c r="AY202"/>
  <c r="AY197"/>
  <c r="AY166"/>
  <c r="AY177"/>
  <c r="AY145"/>
  <c r="AY114"/>
  <c r="AY295"/>
  <c r="AY290"/>
  <c r="AY259"/>
  <c r="AY274"/>
  <c r="AY242"/>
  <c r="AY210"/>
  <c r="AY388"/>
  <c r="AY377"/>
  <c r="AY353"/>
  <c r="AY349"/>
  <c r="AY333"/>
  <c r="AY317"/>
  <c r="AY348"/>
  <c r="AY332"/>
  <c r="AY316"/>
  <c r="AY491"/>
  <c r="AY475"/>
  <c r="AY488"/>
  <c r="AY472"/>
  <c r="AY457"/>
  <c r="AY462"/>
  <c r="AY446"/>
  <c r="AY430"/>
  <c r="AY414"/>
  <c r="AY398"/>
  <c r="AY427"/>
  <c r="AY411"/>
  <c r="AY581"/>
  <c r="BQ6"/>
  <c r="BM6"/>
  <c r="AY585"/>
  <c r="AY561"/>
  <c r="AY534"/>
  <c r="BF6"/>
  <c r="AY571"/>
  <c r="AY546"/>
  <c r="AY495"/>
  <c r="AY510"/>
  <c r="BG6"/>
  <c r="AY16"/>
  <c r="AY501"/>
  <c r="AY584"/>
  <c r="AY494"/>
  <c r="AY514"/>
  <c r="AY582"/>
  <c r="AY519"/>
  <c r="AY101"/>
  <c r="AY96"/>
  <c r="AY65"/>
  <c r="AY80"/>
  <c r="AY48"/>
  <c r="AY37"/>
  <c r="AY194"/>
  <c r="AY189"/>
  <c r="AY158"/>
  <c r="AY169"/>
  <c r="AY137"/>
  <c r="AY129"/>
  <c r="AY287"/>
  <c r="AY282"/>
  <c r="AY251"/>
  <c r="AY266"/>
  <c r="AY234"/>
  <c r="AY223"/>
  <c r="AY380"/>
  <c r="AY369"/>
  <c r="AY364"/>
  <c r="AY345"/>
  <c r="AY329"/>
  <c r="AY313"/>
  <c r="AY344"/>
  <c r="AY328"/>
  <c r="AY312"/>
  <c r="AY487"/>
  <c r="AY471"/>
  <c r="AY484"/>
  <c r="AY468"/>
  <c r="AY453"/>
  <c r="AY458"/>
  <c r="AY442"/>
  <c r="AY426"/>
  <c r="AY410"/>
  <c r="AY439"/>
  <c r="AY423"/>
  <c r="AY407"/>
  <c r="AY579"/>
  <c r="AY506"/>
  <c r="AY499"/>
  <c r="AY14"/>
  <c r="D3" i="6"/>
  <c r="E66" i="39" s="1"/>
  <c r="AY524" i="3"/>
  <c r="AY502"/>
  <c r="AY565"/>
  <c r="AY509"/>
  <c r="AY542"/>
  <c r="BR6"/>
  <c r="AY570"/>
  <c r="AY531"/>
  <c r="AY578"/>
  <c r="BA6"/>
  <c r="AY99"/>
  <c r="AY94"/>
  <c r="AY63"/>
  <c r="AY78"/>
  <c r="AY46"/>
  <c r="AY35"/>
  <c r="AY192"/>
  <c r="AY187"/>
  <c r="AY156"/>
  <c r="AY167"/>
  <c r="AY135"/>
  <c r="AY127"/>
  <c r="AY285"/>
  <c r="AY280"/>
  <c r="AY249"/>
  <c r="AY264"/>
  <c r="AY232"/>
  <c r="AY221"/>
  <c r="AY378"/>
  <c r="AY376"/>
  <c r="AY362"/>
  <c r="AY331"/>
  <c r="AY346"/>
  <c r="AY314"/>
  <c r="AY469"/>
  <c r="AY466"/>
  <c r="AY456"/>
  <c r="AY424"/>
  <c r="AY437"/>
  <c r="AY405"/>
  <c r="AY558"/>
  <c r="AY517"/>
  <c r="AY560"/>
  <c r="AY512"/>
  <c r="BL6"/>
  <c r="AY587"/>
  <c r="AY91"/>
  <c r="AY86"/>
  <c r="AY55"/>
  <c r="AY70"/>
  <c r="AY38"/>
  <c r="AY27"/>
  <c r="AY184"/>
  <c r="AY179"/>
  <c r="AY148"/>
  <c r="AY159"/>
  <c r="AY128"/>
  <c r="AY119"/>
  <c r="AY277"/>
  <c r="AY273"/>
  <c r="AY241"/>
  <c r="AY256"/>
  <c r="AY224"/>
  <c r="AY213"/>
  <c r="AY391"/>
  <c r="AY367"/>
  <c r="AY354"/>
  <c r="AY323"/>
  <c r="AY338"/>
  <c r="AY306"/>
  <c r="AY490"/>
  <c r="AY459"/>
  <c r="AY448"/>
  <c r="AY416"/>
  <c r="AY429"/>
  <c r="AY550"/>
  <c r="BD6"/>
  <c r="BC6"/>
  <c r="AY511"/>
  <c r="AY504"/>
  <c r="AY586"/>
  <c r="AY498"/>
  <c r="AY103"/>
  <c r="AY67"/>
  <c r="AY50"/>
  <c r="AY196"/>
  <c r="AY160"/>
  <c r="AY139"/>
  <c r="AY289"/>
  <c r="AY74"/>
  <c r="AY183"/>
  <c r="AY123"/>
  <c r="AY261"/>
  <c r="AY204"/>
  <c r="AY284"/>
  <c r="AY252"/>
  <c r="AY209"/>
  <c r="AY363"/>
  <c r="AY319"/>
  <c r="AY489"/>
  <c r="AY455"/>
  <c r="AY412"/>
  <c r="AY497"/>
  <c r="AY43"/>
  <c r="AY116"/>
  <c r="AY229"/>
  <c r="AY212"/>
  <c r="AY379"/>
  <c r="AY343"/>
  <c r="AY326"/>
  <c r="AY478"/>
  <c r="AY436"/>
  <c r="AY417"/>
  <c r="AY557"/>
  <c r="AY573"/>
  <c r="AY540"/>
  <c r="AY539"/>
  <c r="AY105"/>
  <c r="AY100"/>
  <c r="AY69"/>
  <c r="AY84"/>
  <c r="AY52"/>
  <c r="AY20"/>
  <c r="AY198"/>
  <c r="AY193"/>
  <c r="AY162"/>
  <c r="AY173"/>
  <c r="AY141"/>
  <c r="AY134"/>
  <c r="AY291"/>
  <c r="AY286"/>
  <c r="AY255"/>
  <c r="AY270"/>
  <c r="AY238"/>
  <c r="AY227"/>
  <c r="AY384"/>
  <c r="AY373"/>
  <c r="AY368"/>
  <c r="AY507"/>
  <c r="BB6"/>
  <c r="AY88"/>
  <c r="AY72"/>
  <c r="AY29"/>
  <c r="AY181"/>
  <c r="AY161"/>
  <c r="AY121"/>
  <c r="AY275"/>
  <c r="AY258"/>
  <c r="AY215"/>
  <c r="AY370"/>
  <c r="AY341"/>
  <c r="AY309"/>
  <c r="AY324"/>
  <c r="AY483"/>
  <c r="AY480"/>
  <c r="AY449"/>
  <c r="AY438"/>
  <c r="AY406"/>
  <c r="AY419"/>
  <c r="AY503"/>
  <c r="AY580"/>
  <c r="AY572"/>
  <c r="AY536"/>
  <c r="AY520"/>
  <c r="AY552"/>
  <c r="AY543"/>
  <c r="AY532"/>
  <c r="AY496"/>
  <c r="AY523"/>
  <c r="AY81"/>
  <c r="AY64"/>
  <c r="AY21"/>
  <c r="AY174"/>
  <c r="AY153"/>
  <c r="AY113"/>
  <c r="AY267"/>
  <c r="AY250"/>
  <c r="AY396"/>
  <c r="AY361"/>
  <c r="AY337"/>
  <c r="AY305"/>
  <c r="AY320"/>
  <c r="AY479"/>
  <c r="AY476"/>
  <c r="AY445"/>
  <c r="AY434"/>
  <c r="AY402"/>
  <c r="AY415"/>
  <c r="AY505"/>
  <c r="AY538"/>
  <c r="AY522"/>
  <c r="AY515"/>
  <c r="AY551"/>
  <c r="AY545"/>
  <c r="BP6"/>
  <c r="AY493"/>
  <c r="AY79"/>
  <c r="AY62"/>
  <c r="AY19"/>
  <c r="AY172"/>
  <c r="AY151"/>
  <c r="AY301"/>
  <c r="AY265"/>
  <c r="AY248"/>
  <c r="AY394"/>
  <c r="AY359"/>
  <c r="AY315"/>
  <c r="AY485"/>
  <c r="AY451"/>
  <c r="AY408"/>
  <c r="AY500"/>
  <c r="AY547"/>
  <c r="AY568"/>
  <c r="AY107"/>
  <c r="AY71"/>
  <c r="AY54"/>
  <c r="AY200"/>
  <c r="AY164"/>
  <c r="AY143"/>
  <c r="AY293"/>
  <c r="AY257"/>
  <c r="AY240"/>
  <c r="AY386"/>
  <c r="AY351"/>
  <c r="AY307"/>
  <c r="AY477"/>
  <c r="AY443"/>
  <c r="AY400"/>
  <c r="AY521"/>
  <c r="AY566"/>
  <c r="BT6"/>
  <c r="AY82"/>
  <c r="AY191"/>
  <c r="AY132"/>
  <c r="AY31"/>
  <c r="AY292"/>
  <c r="AY147"/>
  <c r="AY220"/>
  <c r="AY350"/>
  <c r="AY486"/>
  <c r="AY425"/>
  <c r="AY199"/>
  <c r="AY244"/>
  <c r="AY355"/>
  <c r="AY481"/>
  <c r="AY404"/>
  <c r="AY562"/>
  <c r="BO6"/>
  <c r="AY89"/>
  <c r="AY53"/>
  <c r="AY36"/>
  <c r="AY182"/>
  <c r="AY146"/>
  <c r="AY126"/>
  <c r="AY302"/>
  <c r="AY239"/>
  <c r="AY222"/>
  <c r="AY389"/>
  <c r="BS6"/>
  <c r="AY93"/>
  <c r="AY40"/>
  <c r="AY150"/>
  <c r="AY279"/>
  <c r="AY226"/>
  <c r="AY356"/>
  <c r="AY340"/>
  <c r="AY467"/>
  <c r="AY454"/>
  <c r="AY435"/>
  <c r="AY525"/>
  <c r="BN6"/>
  <c r="AY518"/>
  <c r="AY508"/>
  <c r="AY577"/>
  <c r="AY49"/>
  <c r="AY205"/>
  <c r="AY122"/>
  <c r="AY235"/>
  <c r="AY385"/>
  <c r="AY321"/>
  <c r="AY304"/>
  <c r="AY461"/>
  <c r="AY418"/>
  <c r="AY399"/>
  <c r="AY564"/>
  <c r="AY537"/>
  <c r="AY548"/>
  <c r="AY110"/>
  <c r="AY30"/>
  <c r="AY140"/>
  <c r="AY296"/>
  <c r="AY216"/>
  <c r="AY347"/>
  <c r="AY482"/>
  <c r="AY421"/>
  <c r="AY528"/>
  <c r="AY102"/>
  <c r="AY22"/>
  <c r="AY175"/>
  <c r="AY288"/>
  <c r="AY208"/>
  <c r="AY339"/>
  <c r="AY474"/>
  <c r="AY413"/>
  <c r="AY583"/>
  <c r="AY98"/>
  <c r="AY18"/>
  <c r="AY171"/>
  <c r="AY90"/>
  <c r="AY163"/>
  <c r="AY75"/>
  <c r="AY237"/>
  <c r="AY387"/>
  <c r="AY334"/>
  <c r="AY444"/>
  <c r="AY526"/>
  <c r="AY269"/>
  <c r="AY390"/>
  <c r="AY311"/>
  <c r="AY447"/>
  <c r="AY535"/>
  <c r="AY574"/>
  <c r="AY555"/>
  <c r="AY85"/>
  <c r="AY68"/>
  <c r="AY25"/>
  <c r="AY178"/>
  <c r="AY157"/>
  <c r="AY117"/>
  <c r="AY271"/>
  <c r="AY254"/>
  <c r="AY211"/>
  <c r="AY365"/>
  <c r="BI6"/>
  <c r="AY57"/>
  <c r="AY186"/>
  <c r="AY130"/>
  <c r="AY243"/>
  <c r="AY393"/>
  <c r="AY325"/>
  <c r="AY308"/>
  <c r="AY464"/>
  <c r="AY422"/>
  <c r="AY403"/>
  <c r="AY516"/>
  <c r="AY527"/>
  <c r="AY559"/>
  <c r="AY556"/>
  <c r="AY112"/>
  <c r="AY32"/>
  <c r="AY142"/>
  <c r="AY298"/>
  <c r="AY218"/>
  <c r="AY352"/>
  <c r="AY336"/>
  <c r="AY492"/>
  <c r="AY450"/>
  <c r="AY431"/>
  <c r="AY17"/>
  <c r="AY575"/>
  <c r="AY530"/>
  <c r="AY563"/>
  <c r="AY47"/>
  <c r="AY203"/>
  <c r="AY120"/>
  <c r="AY233"/>
  <c r="AY383"/>
  <c r="AY330"/>
  <c r="AY440"/>
  <c r="AY13"/>
  <c r="AY576"/>
  <c r="AY39"/>
  <c r="AY195"/>
  <c r="AY136"/>
  <c r="AY272"/>
  <c r="AY375"/>
  <c r="AY322"/>
  <c r="AY432"/>
  <c r="AY15"/>
  <c r="AY567"/>
  <c r="C17" i="15"/>
  <c r="C44" i="68" l="1"/>
  <c r="D41" s="1"/>
  <c r="C29" i="67"/>
  <c r="C13" s="1"/>
  <c r="E6" i="70"/>
  <c r="E2" s="1"/>
  <c r="AQ6" i="1"/>
  <c r="T6"/>
  <c r="AR6"/>
  <c r="S16"/>
  <c r="H20" i="6"/>
  <c r="D25"/>
  <c r="D15"/>
  <c r="D22"/>
  <c r="D21"/>
  <c r="D24"/>
  <c r="D20"/>
  <c r="R20" s="1"/>
  <c r="D6"/>
  <c r="D9"/>
  <c r="D10"/>
  <c r="L19" i="9"/>
  <c r="D29" i="6"/>
  <c r="H25"/>
  <c r="H22"/>
  <c r="H21"/>
  <c r="H24"/>
  <c r="D19"/>
  <c r="C18" i="4"/>
  <c r="D23" i="6"/>
  <c r="D5"/>
  <c r="D11"/>
  <c r="D28"/>
  <c r="D30" s="1"/>
  <c r="H26"/>
  <c r="M19" i="9"/>
  <c r="C118" s="1"/>
  <c r="C14" i="74" s="1"/>
  <c r="D8" i="6"/>
  <c r="D13"/>
  <c r="H23"/>
  <c r="D26"/>
  <c r="D14"/>
  <c r="D12"/>
  <c r="E61" i="40"/>
  <c r="G46" i="37"/>
  <c r="H46" s="1"/>
  <c r="G47"/>
  <c r="H47" s="1"/>
  <c r="S7" i="34"/>
  <c r="AA7"/>
  <c r="R49" s="1"/>
  <c r="AA7" i="36"/>
  <c r="R36" s="1"/>
  <c r="S7"/>
  <c r="W7"/>
  <c r="AC7"/>
  <c r="V36" s="1"/>
  <c r="I36" s="1"/>
  <c r="C66" i="67"/>
  <c r="C60"/>
  <c r="C20" i="11"/>
  <c r="C25" s="1"/>
  <c r="C24"/>
  <c r="D10"/>
  <c r="C10" s="1"/>
  <c r="D20" i="12"/>
  <c r="C20" s="1"/>
  <c r="C18" s="1"/>
  <c r="D10" i="69"/>
  <c r="H68" i="39"/>
  <c r="G70"/>
  <c r="M19" i="6"/>
  <c r="K27"/>
  <c r="M14" i="1"/>
  <c r="C34" i="69"/>
  <c r="K16" i="1"/>
  <c r="AC7" i="21"/>
  <c r="V48" s="1"/>
  <c r="I48" s="1"/>
  <c r="W7"/>
  <c r="C60" i="15"/>
  <c r="C66"/>
  <c r="I65" i="40"/>
  <c r="J63"/>
  <c r="C35" i="43"/>
  <c r="C36"/>
  <c r="C34"/>
  <c r="C33"/>
  <c r="C37"/>
  <c r="C29"/>
  <c r="T16"/>
  <c r="V16" s="1"/>
  <c r="T12"/>
  <c r="V12" s="1"/>
  <c r="T3"/>
  <c r="V3" s="1"/>
  <c r="T2"/>
  <c r="V2" s="1"/>
  <c r="T15"/>
  <c r="V15" s="1"/>
  <c r="T10"/>
  <c r="V10" s="1"/>
  <c r="T6"/>
  <c r="V6" s="1"/>
  <c r="C39"/>
  <c r="C38"/>
  <c r="T11"/>
  <c r="V11" s="1"/>
  <c r="T14"/>
  <c r="V14" s="1"/>
  <c r="T9"/>
  <c r="V9" s="1"/>
  <c r="T7"/>
  <c r="V7" s="1"/>
  <c r="T8"/>
  <c r="V8" s="1"/>
  <c r="T13"/>
  <c r="V13" s="1"/>
  <c r="T5"/>
  <c r="V5" s="1"/>
  <c r="T4"/>
  <c r="V4" s="1"/>
  <c r="AB7" i="36"/>
  <c r="T36" s="1"/>
  <c r="G36" s="1"/>
  <c r="U7"/>
  <c r="U7" i="34"/>
  <c r="AB7"/>
  <c r="T49" s="1"/>
  <c r="G49" s="1"/>
  <c r="AB7" i="21"/>
  <c r="T48" s="1"/>
  <c r="G48" s="1"/>
  <c r="U7"/>
  <c r="C32" i="67"/>
  <c r="C38"/>
  <c r="D17" i="12"/>
  <c r="C17" s="1"/>
  <c r="C14"/>
  <c r="I46" i="37"/>
  <c r="J46" s="1"/>
  <c r="I53" i="34"/>
  <c r="J53" s="1"/>
  <c r="H48" i="35"/>
  <c r="B2" i="33"/>
  <c r="B3" s="1"/>
  <c r="R43" i="37"/>
  <c r="E42"/>
  <c r="S7" i="21"/>
  <c r="AA7"/>
  <c r="R48" s="1"/>
  <c r="C32" i="15"/>
  <c r="C38"/>
  <c r="C14"/>
  <c r="D10" i="68"/>
  <c r="C57" i="67" l="1"/>
  <c r="C64" s="1"/>
  <c r="Q49"/>
  <c r="C36"/>
  <c r="J59"/>
  <c r="J60" s="1"/>
  <c r="L46" s="1"/>
  <c r="J14"/>
  <c r="J13" s="1"/>
  <c r="J23" s="1"/>
  <c r="C33"/>
  <c r="C31" s="1"/>
  <c r="J19"/>
  <c r="J17" s="1"/>
  <c r="C15" i="15"/>
  <c r="C18"/>
  <c r="D16" i="6"/>
  <c r="R23"/>
  <c r="C22" i="11"/>
  <c r="E47" i="37"/>
  <c r="F47" s="1"/>
  <c r="E46"/>
  <c r="F46" s="1"/>
  <c r="I48" i="35"/>
  <c r="J48" s="1"/>
  <c r="K48" s="1"/>
  <c r="L48" s="1"/>
  <c r="M48" s="1"/>
  <c r="N48" s="1"/>
  <c r="O48" s="1"/>
  <c r="F7"/>
  <c r="I47" i="37"/>
  <c r="J47" s="1"/>
  <c r="E48" i="21"/>
  <c r="R49"/>
  <c r="C43" i="37"/>
  <c r="B2" s="1"/>
  <c r="B3" s="1"/>
  <c r="C42"/>
  <c r="J7" i="35"/>
  <c r="G52" i="21"/>
  <c r="H52" s="1"/>
  <c r="G53"/>
  <c r="H53" s="1"/>
  <c r="G40" i="36"/>
  <c r="H40" s="1"/>
  <c r="G41"/>
  <c r="H41" s="1"/>
  <c r="G39" i="43"/>
  <c r="I39" s="1"/>
  <c r="E39"/>
  <c r="C30"/>
  <c r="E30" s="1"/>
  <c r="E29"/>
  <c r="G33"/>
  <c r="I33" s="1"/>
  <c r="E33"/>
  <c r="G36"/>
  <c r="I36" s="1"/>
  <c r="E36"/>
  <c r="K63" i="40"/>
  <c r="J65"/>
  <c r="I52" i="21"/>
  <c r="J52" s="1"/>
  <c r="I53"/>
  <c r="J53" s="1"/>
  <c r="C38" i="69"/>
  <c r="C35"/>
  <c r="D19"/>
  <c r="C10"/>
  <c r="C8" s="1"/>
  <c r="C5" s="1"/>
  <c r="I40" i="36"/>
  <c r="J40" s="1"/>
  <c r="E49" i="34"/>
  <c r="R50"/>
  <c r="D27" i="6"/>
  <c r="D31" s="1"/>
  <c r="R21"/>
  <c r="G53" i="34"/>
  <c r="H53" s="1"/>
  <c r="G54"/>
  <c r="H54" s="1"/>
  <c r="G38" i="43"/>
  <c r="I38" s="1"/>
  <c r="E38"/>
  <c r="G37"/>
  <c r="I37" s="1"/>
  <c r="E37"/>
  <c r="G34"/>
  <c r="I34" s="1"/>
  <c r="E34"/>
  <c r="G35"/>
  <c r="I35" s="1"/>
  <c r="E35"/>
  <c r="O14" i="1"/>
  <c r="O16" s="1"/>
  <c r="T16"/>
  <c r="M16"/>
  <c r="I19" i="6"/>
  <c r="M27"/>
  <c r="H70" i="39"/>
  <c r="I68"/>
  <c r="C10" i="68"/>
  <c r="D19"/>
  <c r="C28" i="11"/>
  <c r="C27" s="1"/>
  <c r="E36" i="36"/>
  <c r="R37"/>
  <c r="C75" i="67"/>
  <c r="Q70"/>
  <c r="C37"/>
  <c r="C56"/>
  <c r="C65" s="1"/>
  <c r="R26" i="6"/>
  <c r="C4" i="52"/>
  <c r="B45" i="72" s="1"/>
  <c r="A7" i="51"/>
  <c r="B7" i="72" s="1"/>
  <c r="A10" i="51"/>
  <c r="B9" i="72" s="1"/>
  <c r="R24" i="6"/>
  <c r="R22"/>
  <c r="R25"/>
  <c r="C61" i="67" l="1"/>
  <c r="C59" s="1"/>
  <c r="C58" s="1"/>
  <c r="C67" s="1"/>
  <c r="C68" s="1"/>
  <c r="C71" s="1"/>
  <c r="J22"/>
  <c r="J16" s="1"/>
  <c r="J25" s="1"/>
  <c r="C19" i="15"/>
  <c r="C20" s="1"/>
  <c r="C26" s="1"/>
  <c r="Q48" i="67"/>
  <c r="C31" i="11"/>
  <c r="C30" i="67"/>
  <c r="C39" s="1"/>
  <c r="C40" s="1"/>
  <c r="S19" i="6"/>
  <c r="S27" s="1"/>
  <c r="I27"/>
  <c r="H19"/>
  <c r="E40" i="36"/>
  <c r="F40" s="1"/>
  <c r="E41"/>
  <c r="F41" s="1"/>
  <c r="J68" i="39"/>
  <c r="I70"/>
  <c r="L16" i="1"/>
  <c r="C34" i="11"/>
  <c r="N16" i="1"/>
  <c r="P14"/>
  <c r="P16" s="1"/>
  <c r="C11" i="12" s="1"/>
  <c r="I6" i="6"/>
  <c r="C11" i="39" s="1"/>
  <c r="I5" i="6"/>
  <c r="E54" i="34"/>
  <c r="F54" s="1"/>
  <c r="E53"/>
  <c r="F53" s="1"/>
  <c r="I54"/>
  <c r="J54" s="1"/>
  <c r="I41" i="36"/>
  <c r="J41" s="1"/>
  <c r="C19" i="69"/>
  <c r="C24" s="1"/>
  <c r="D37"/>
  <c r="C37" s="1"/>
  <c r="C33" s="1"/>
  <c r="C26" i="43"/>
  <c r="AC7" i="35"/>
  <c r="V38" s="1"/>
  <c r="I38" s="1"/>
  <c r="W7"/>
  <c r="E53" i="21"/>
  <c r="F53" s="1"/>
  <c r="E52"/>
  <c r="F52" s="1"/>
  <c r="H7" i="35"/>
  <c r="C36" i="36"/>
  <c r="C37"/>
  <c r="B2" s="1"/>
  <c r="B3" s="1"/>
  <c r="D37" i="68"/>
  <c r="C37" s="1"/>
  <c r="C19"/>
  <c r="C49" i="34"/>
  <c r="C50"/>
  <c r="B2" s="1"/>
  <c r="B3" s="1"/>
  <c r="C23" i="69"/>
  <c r="L63" i="40"/>
  <c r="K65"/>
  <c r="C27" i="43"/>
  <c r="C48" i="21"/>
  <c r="C49"/>
  <c r="B2" s="1"/>
  <c r="B3" s="1"/>
  <c r="S7" i="35"/>
  <c r="AA7"/>
  <c r="R38" s="1"/>
  <c r="C34" i="68"/>
  <c r="E6" i="76"/>
  <c r="F11" i="39" l="1"/>
  <c r="H11"/>
  <c r="J11"/>
  <c r="C23" i="15"/>
  <c r="C29" s="1"/>
  <c r="Q69" i="67"/>
  <c r="Q68" s="1"/>
  <c r="C20" i="69"/>
  <c r="C25" s="1"/>
  <c r="C22" s="1"/>
  <c r="C80" i="67"/>
  <c r="C79" s="1"/>
  <c r="C45"/>
  <c r="C46" s="1"/>
  <c r="E2" i="76"/>
  <c r="C39" i="69"/>
  <c r="C43" s="1"/>
  <c r="C42"/>
  <c r="M63" i="40"/>
  <c r="L65"/>
  <c r="C24" i="68"/>
  <c r="AB7" i="35"/>
  <c r="T38" s="1"/>
  <c r="G38" s="1"/>
  <c r="U7"/>
  <c r="B2" i="43"/>
  <c r="C12" i="12"/>
  <c r="C15"/>
  <c r="F50" i="69"/>
  <c r="F50" i="68"/>
  <c r="F50" i="11"/>
  <c r="K68" i="39"/>
  <c r="J70"/>
  <c r="H27" i="6"/>
  <c r="R19"/>
  <c r="C43" i="67"/>
  <c r="Q56"/>
  <c r="D2"/>
  <c r="Q65"/>
  <c r="Q47"/>
  <c r="Q53" s="1"/>
  <c r="C83"/>
  <c r="C82" s="1"/>
  <c r="R39" i="35"/>
  <c r="E38"/>
  <c r="I42"/>
  <c r="J42" s="1"/>
  <c r="I43"/>
  <c r="J43" s="1"/>
  <c r="C38" i="68"/>
  <c r="C35"/>
  <c r="C35" i="11"/>
  <c r="C38"/>
  <c r="L51" i="67"/>
  <c r="B6" i="76"/>
  <c r="L57" i="67" l="1"/>
  <c r="L60" s="1"/>
  <c r="Q57" s="1"/>
  <c r="Q62" s="1"/>
  <c r="Q67"/>
  <c r="AB11" i="39"/>
  <c r="U11"/>
  <c r="W11"/>
  <c r="AC11"/>
  <c r="AA11"/>
  <c r="S11"/>
  <c r="J19" i="15"/>
  <c r="C33"/>
  <c r="Q49"/>
  <c r="C13"/>
  <c r="J14"/>
  <c r="J59"/>
  <c r="J60" s="1"/>
  <c r="Q48" s="1"/>
  <c r="C57"/>
  <c r="C36"/>
  <c r="R27" i="6"/>
  <c r="R6" i="1"/>
  <c r="C46" i="69"/>
  <c r="C45" s="1"/>
  <c r="C33" i="11"/>
  <c r="C42" s="1"/>
  <c r="C28" i="69"/>
  <c r="C27" s="1"/>
  <c r="C31" s="1"/>
  <c r="C16" i="12"/>
  <c r="C21" s="1"/>
  <c r="C22" s="1"/>
  <c r="C41" i="69"/>
  <c r="C33" i="68"/>
  <c r="C39" s="1"/>
  <c r="C43" s="1"/>
  <c r="B2" i="76"/>
  <c r="B3" s="1"/>
  <c r="C39" i="35"/>
  <c r="B2" s="1"/>
  <c r="B3" s="1"/>
  <c r="C38"/>
  <c r="B2" i="67"/>
  <c r="B3"/>
  <c r="B3" i="43"/>
  <c r="G43" i="35"/>
  <c r="H43" s="1"/>
  <c r="G42"/>
  <c r="H42" s="1"/>
  <c r="N63" i="40"/>
  <c r="M65"/>
  <c r="E43" i="35"/>
  <c r="F43" s="1"/>
  <c r="E42"/>
  <c r="F42" s="1"/>
  <c r="L68" i="39"/>
  <c r="K70"/>
  <c r="Q66" i="67"/>
  <c r="Q75" s="1"/>
  <c r="M21" i="15"/>
  <c r="F35"/>
  <c r="C37" l="1"/>
  <c r="C75"/>
  <c r="Q70"/>
  <c r="C56"/>
  <c r="C65" s="1"/>
  <c r="C64"/>
  <c r="C61"/>
  <c r="J13"/>
  <c r="J23" s="1"/>
  <c r="J22"/>
  <c r="C34"/>
  <c r="C31" s="1"/>
  <c r="C30" s="1"/>
  <c r="C39" s="1"/>
  <c r="F63"/>
  <c r="C62" s="1"/>
  <c r="J20"/>
  <c r="J17" s="1"/>
  <c r="R16" i="1"/>
  <c r="C39" i="11"/>
  <c r="C43" s="1"/>
  <c r="C41" s="1"/>
  <c r="C49" i="69"/>
  <c r="C51" s="1"/>
  <c r="C52" s="1"/>
  <c r="B2" s="1"/>
  <c r="B3" s="1"/>
  <c r="C42" i="68"/>
  <c r="C41" s="1"/>
  <c r="C46"/>
  <c r="C45" s="1"/>
  <c r="L70" i="39"/>
  <c r="M68"/>
  <c r="O63" i="40"/>
  <c r="O65" s="1"/>
  <c r="N65"/>
  <c r="L51" i="15"/>
  <c r="C59" l="1"/>
  <c r="C58" s="1"/>
  <c r="C67" s="1"/>
  <c r="C68" s="1"/>
  <c r="C71" s="1"/>
  <c r="J16"/>
  <c r="J25" s="1"/>
  <c r="C46" i="11"/>
  <c r="C45" s="1"/>
  <c r="C49" s="1"/>
  <c r="C51" s="1"/>
  <c r="C52" s="1"/>
  <c r="B2" s="1"/>
  <c r="B3" s="1"/>
  <c r="Q67" i="15"/>
  <c r="L57"/>
  <c r="L60" s="1"/>
  <c r="Q69"/>
  <c r="Q68" s="1"/>
  <c r="C80"/>
  <c r="C79" s="1"/>
  <c r="C40"/>
  <c r="C49" i="68"/>
  <c r="C51" s="1"/>
  <c r="F35" i="9" s="1"/>
  <c r="N68" i="39"/>
  <c r="M70"/>
  <c r="J7" i="40"/>
  <c r="F7"/>
  <c r="H7"/>
  <c r="C57" i="69"/>
  <c r="C56" s="1"/>
  <c r="C46" i="15" l="1"/>
  <c r="L46"/>
  <c r="B2" s="1"/>
  <c r="C8" i="12" s="1"/>
  <c r="C4" s="1"/>
  <c r="Q66" i="15"/>
  <c r="Q57"/>
  <c r="C43"/>
  <c r="Q56"/>
  <c r="Q62" s="1"/>
  <c r="Q65"/>
  <c r="Q75" s="1"/>
  <c r="Q47"/>
  <c r="Q53" s="1"/>
  <c r="C83"/>
  <c r="C82" s="1"/>
  <c r="C56" i="11"/>
  <c r="C57" s="1"/>
  <c r="U7" i="40"/>
  <c r="AB7"/>
  <c r="T42" s="1"/>
  <c r="G42" s="1"/>
  <c r="AC7"/>
  <c r="V42" s="1"/>
  <c r="I42" s="1"/>
  <c r="W7"/>
  <c r="S7"/>
  <c r="AA7"/>
  <c r="R42" s="1"/>
  <c r="O68" i="39"/>
  <c r="O70" s="1"/>
  <c r="N70"/>
  <c r="AO6" i="1"/>
  <c r="C23" i="12" l="1"/>
  <c r="C31"/>
  <c r="B6" i="70"/>
  <c r="B2" s="1"/>
  <c r="B3" s="1"/>
  <c r="B3" i="15"/>
  <c r="C6" i="12" s="1"/>
  <c r="H7" i="39"/>
  <c r="J7"/>
  <c r="F7"/>
  <c r="R43" i="40"/>
  <c r="E42"/>
  <c r="G46"/>
  <c r="H46" s="1"/>
  <c r="G47"/>
  <c r="H47" s="1"/>
  <c r="I46"/>
  <c r="J46" s="1"/>
  <c r="C30" i="12" l="1"/>
  <c r="C28" s="1"/>
  <c r="C27"/>
  <c r="C25" s="1"/>
  <c r="E46" i="40"/>
  <c r="F46" s="1"/>
  <c r="E47"/>
  <c r="F47" s="1"/>
  <c r="I47"/>
  <c r="J47" s="1"/>
  <c r="C43"/>
  <c r="C42"/>
  <c r="W7" i="39"/>
  <c r="AC7"/>
  <c r="V47" s="1"/>
  <c r="I47" s="1"/>
  <c r="AA7"/>
  <c r="R47" s="1"/>
  <c r="S7"/>
  <c r="U7"/>
  <c r="AB7"/>
  <c r="T47" s="1"/>
  <c r="G47" s="1"/>
  <c r="C32" i="12" l="1"/>
  <c r="B2" s="1"/>
  <c r="B3" s="1"/>
  <c r="G52" i="39"/>
  <c r="H52" s="1"/>
  <c r="G51"/>
  <c r="H51" s="1"/>
  <c r="R48"/>
  <c r="E47"/>
  <c r="I52" s="1"/>
  <c r="J52" s="1"/>
  <c r="B55" i="40"/>
  <c r="F55" s="1"/>
  <c r="B53"/>
  <c r="F53" s="1"/>
  <c r="B60"/>
  <c r="F60" s="1"/>
  <c r="F61"/>
  <c r="B2" s="1"/>
  <c r="B3" s="1"/>
  <c r="B57"/>
  <c r="F57" s="1"/>
  <c r="B59"/>
  <c r="F59" s="1"/>
  <c r="B56"/>
  <c r="F56" s="1"/>
  <c r="B54"/>
  <c r="F54" s="1"/>
  <c r="B58"/>
  <c r="F58" s="1"/>
  <c r="B52"/>
  <c r="F52" s="1"/>
  <c r="B51"/>
  <c r="F51" s="1"/>
  <c r="I51" i="39"/>
  <c r="J51" s="1"/>
  <c r="D19" i="9"/>
  <c r="D20"/>
  <c r="D21" l="1"/>
  <c r="D102"/>
  <c r="D103"/>
  <c r="E51" i="39"/>
  <c r="F51" s="1"/>
  <c r="E52"/>
  <c r="F52" s="1"/>
  <c r="C48"/>
  <c r="C47"/>
  <c r="B61" l="1"/>
  <c r="F61" s="1"/>
  <c r="B60"/>
  <c r="F60" s="1"/>
  <c r="B56"/>
  <c r="F56" s="1"/>
  <c r="B58"/>
  <c r="F58" s="1"/>
  <c r="B59"/>
  <c r="F59" s="1"/>
  <c r="B64"/>
  <c r="F64" s="1"/>
  <c r="B65"/>
  <c r="F65" s="1"/>
  <c r="B57"/>
  <c r="F57" s="1"/>
  <c r="B63"/>
  <c r="F63" s="1"/>
  <c r="B62"/>
  <c r="F62" s="1"/>
  <c r="F66" l="1"/>
  <c r="B2" s="1"/>
  <c r="B3" s="1"/>
  <c r="C6" i="68" l="1"/>
  <c r="C7" s="1"/>
  <c r="C5" s="1"/>
  <c r="C23" l="1"/>
  <c r="C20"/>
  <c r="C25" s="1"/>
  <c r="C28" l="1"/>
  <c r="C27" s="1"/>
  <c r="C22"/>
  <c r="C31" l="1"/>
  <c r="C52" l="1"/>
  <c r="B2" s="1"/>
  <c r="F34" i="9"/>
  <c r="C57" i="68"/>
  <c r="B3"/>
  <c r="C19" i="9"/>
  <c r="C20"/>
  <c r="C102" l="1"/>
  <c r="G19"/>
  <c r="C32" s="1"/>
  <c r="C21"/>
  <c r="D22"/>
  <c r="C56" i="68"/>
  <c r="G20" i="9"/>
  <c r="C103"/>
  <c r="G21"/>
  <c r="C35" l="1"/>
  <c r="D35"/>
  <c r="F118" l="1"/>
  <c r="F4" i="52" s="1"/>
  <c r="B51" i="72" s="1"/>
  <c r="C34" i="9"/>
  <c r="D34"/>
  <c r="G118" l="1"/>
  <c r="G4" i="52" s="1"/>
  <c r="B52" i="72" s="1"/>
  <c r="F119" i="9"/>
  <c r="F5" i="52" s="1"/>
  <c r="B53" i="72" s="1"/>
  <c r="D118" i="9" l="1"/>
  <c r="M49"/>
  <c r="D4" i="52" l="1"/>
  <c r="B47" i="72" s="1"/>
  <c r="D119" i="9"/>
  <c r="D5" i="52" s="1"/>
  <c r="B49" i="72" s="1"/>
  <c r="L65" i="9"/>
  <c r="M65" s="1"/>
  <c r="L64"/>
  <c r="M64" s="1"/>
  <c r="L67"/>
  <c r="M67" s="1"/>
  <c r="L63"/>
  <c r="M63" s="1"/>
  <c r="L68"/>
  <c r="M68" s="1"/>
  <c r="L66"/>
  <c r="M66" s="1"/>
  <c r="M69" l="1"/>
  <c r="N69" s="1"/>
  <c r="B15" i="74" l="1"/>
  <c r="B1" s="1"/>
  <c r="C15" l="1"/>
  <c r="B2" s="1"/>
  <c r="C8"/>
  <c r="C7"/>
  <c r="D8" l="1"/>
  <c r="D7"/>
  <c r="D15" l="1"/>
  <c r="J19" i="9"/>
  <c r="F15" i="74" l="1"/>
  <c r="E15"/>
  <c r="H118" i="9" l="1"/>
  <c r="D14" i="74" s="1"/>
  <c r="E118" i="9"/>
  <c r="E4" i="52" s="1"/>
  <c r="B48" i="72" s="1"/>
  <c r="H4" i="52" l="1"/>
  <c r="C104" i="9"/>
  <c r="H119"/>
  <c r="H5" i="52" s="1"/>
  <c r="I118" i="9"/>
  <c r="F14" i="74"/>
  <c r="B5"/>
  <c r="E14"/>
  <c r="H101" i="9"/>
  <c r="C105" l="1"/>
  <c r="I4" i="52"/>
  <c r="H102" i="9"/>
  <c r="D7" i="53" s="1"/>
  <c r="B21" i="72" s="1"/>
  <c r="D5" i="53"/>
  <c r="H107" i="9"/>
  <c r="D45"/>
  <c r="M48"/>
  <c r="D5" i="74"/>
  <c r="C5"/>
  <c r="D6" i="53" l="1"/>
  <c r="B22" i="72" s="1"/>
  <c r="B20"/>
  <c r="D55" i="9"/>
  <c r="M53" s="1"/>
  <c r="C85"/>
  <c r="C78"/>
  <c r="C73" s="1"/>
  <c r="D53"/>
  <c r="C93"/>
  <c r="C86" s="1"/>
  <c r="C72"/>
  <c r="C64"/>
  <c r="C63" s="1"/>
  <c r="C67" s="1"/>
  <c r="C68" s="1"/>
  <c r="D54" s="1"/>
  <c r="D52"/>
  <c r="D122"/>
  <c r="D13" i="53"/>
  <c r="H108" i="9"/>
  <c r="D15" i="53" s="1"/>
  <c r="B31" i="72" s="1"/>
  <c r="D123" i="9" l="1"/>
  <c r="D9" i="52" s="1"/>
  <c r="G14" i="74"/>
  <c r="B6" s="1"/>
  <c r="D8" i="52"/>
  <c r="D14" i="53"/>
  <c r="B32" i="72" s="1"/>
  <c r="B30"/>
  <c r="C79" i="9"/>
  <c r="C95"/>
  <c r="C96" l="1"/>
  <c r="E96" s="1"/>
  <c r="E97" s="1"/>
  <c r="C80"/>
  <c r="E80" s="1"/>
  <c r="E81" s="1"/>
  <c r="C6" i="74"/>
  <c r="D6"/>
  <c r="C81" i="9" l="1"/>
  <c r="C97"/>
  <c r="D58" s="1"/>
  <c r="D56" s="1"/>
  <c r="M54" s="1"/>
  <c r="N57" s="1"/>
  <c r="P57" l="1"/>
  <c r="N59"/>
  <c r="N58"/>
  <c r="N60" l="1"/>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<sst xmlns="http://schemas.openxmlformats.org/spreadsheetml/2006/main" count="8479" uniqueCount="3274">
  <si>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</si>
  <si>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</si>
  <si>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</si>
  <si>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</si>
  <si>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</si>
  <si>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</si>
  <si>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</si>
  <si>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</si>
  <si>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</si>
  <si>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</si>
  <si>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</si>
  <si>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</si>
  <si>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</si>
  <si>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</si>
  <si>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</si>
  <si>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</si>
  <si>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</si>
  <si>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</si>
  <si>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</si>
  <si>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</si>
  <si>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</si>
  <si>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</si>
  <si>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</si>
  <si>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</si>
  <si>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</si>
  <si>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</si>
  <si>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</si>
  <si>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</si>
  <si>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</si>
  <si>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</si>
  <si>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</si>
  <si>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</si>
  <si>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</si>
  <si>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</si>
  <si>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</si>
  <si>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</si>
  <si>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</si>
  <si>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</si>
  <si>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</si>
  <si>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</si>
  <si>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</si>
  <si>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</si>
  <si>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</si>
  <si>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</si>
  <si>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</si>
  <si>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</si>
  <si>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</si>
  <si>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</si>
  <si>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</si>
  <si>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</si>
  <si>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</si>
  <si>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</si>
  <si>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</si>
  <si>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</si>
  <si>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</si>
  <si>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</si>
  <si>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</si>
  <si>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</si>
  <si>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</si>
  <si>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</si>
  <si>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</si>
  <si>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</si>
  <si>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</si>
  <si>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</si>
  <si>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</si>
  <si>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</si>
  <si>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</si>
  <si>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</si>
  <si>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</si>
  <si>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</si>
  <si>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</si>
  <si>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</si>
  <si>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</si>
  <si>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</si>
  <si>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</si>
  <si>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</si>
  <si>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</si>
  <si>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</si>
  <si>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</si>
  <si>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</si>
  <si>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</si>
  <si>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</si>
  <si>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</si>
  <si>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</si>
  <si>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</si>
  <si>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</si>
  <si>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</si>
  <si>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</si>
  <si>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</si>
  <si>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</si>
  <si>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</si>
  <si>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</si>
  <si>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</si>
  <si>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</si>
  <si>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</si>
  <si>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</si>
  <si>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</si>
  <si>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</si>
  <si>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</si>
  <si>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</si>
  <si>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</si>
  <si>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</si>
  <si>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</si>
  <si>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</si>
  <si>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</si>
  <si>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</si>
  <si>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</si>
  <si>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</si>
  <si>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</si>
  <si>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</si>
  <si>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</si>
  <si>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</si>
  <si>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</si>
  <si>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</si>
  <si>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</si>
  <si>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</si>
  <si>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</si>
  <si>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</si>
  <si>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</si>
  <si>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</si>
  <si>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</si>
  <si>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</si>
  <si>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</si>
  <si>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</si>
  <si>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</si>
  <si>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</si>
  <si>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</si>
  <si>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</si>
  <si>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</si>
  <si>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</si>
  <si>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</si>
  <si>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</si>
  <si>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</si>
  <si>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</si>
  <si>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</si>
  <si>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</si>
  <si>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</si>
  <si>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</si>
  <si>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</si>
  <si>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</si>
  <si>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</si>
  <si>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</si>
  <si>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</si>
  <si>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</si>
  <si>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</si>
  <si>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</si>
  <si>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</si>
  <si>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</si>
  <si>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</si>
  <si>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</si>
  <si>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</si>
  <si>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</si>
  <si>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</si>
  <si>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</si>
  <si>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</si>
  <si>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</si>
  <si>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</si>
  <si>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</si>
  <si>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</si>
  <si>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</si>
  <si>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</si>
  <si>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</si>
  <si>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</si>
  <si>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</si>
  <si>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</si>
  <si>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</si>
  <si>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</si>
  <si>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</si>
  <si>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</si>
  <si>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</si>
  <si>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</si>
  <si>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</si>
  <si>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</si>
  <si>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</si>
  <si>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</si>
  <si>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</si>
  <si>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</si>
  <si>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</si>
  <si>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</si>
  <si>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</si>
  <si>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</si>
  <si>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</si>
  <si>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</si>
  <si>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</si>
  <si>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</si>
  <si>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</si>
  <si>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</si>
  <si>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</si>
  <si>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</si>
  <si>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</si>
  <si>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</si>
  <si>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</si>
  <si>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</si>
  <si>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</si>
  <si>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</si>
  <si>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</si>
  <si>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</si>
  <si>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</si>
  <si>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</si>
  <si>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</si>
  <si>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</si>
  <si>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</si>
  <si>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</si>
  <si>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</si>
  <si>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</si>
  <si>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</si>
  <si>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</si>
  <si>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</si>
  <si>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</si>
  <si>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</si>
  <si>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</si>
  <si>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</si>
  <si>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</si>
  <si>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</si>
  <si>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</si>
  <si>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</si>
  <si>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</si>
  <si>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</si>
  <si>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</si>
  <si>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</si>
  <si>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</si>
  <si>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</si>
  <si>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</si>
  <si>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</si>
  <si>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</si>
  <si>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</si>
  <si>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</si>
  <si>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</si>
  <si>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</si>
  <si>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</si>
  <si>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</si>
  <si>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</si>
  <si>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</si>
  <si>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</si>
  <si>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</si>
  <si>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</si>
  <si>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</si>
  <si>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</si>
  <si>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</si>
  <si>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</si>
  <si>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</si>
  <si>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</si>
  <si>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</si>
  <si>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</si>
  <si>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</si>
  <si>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</si>
  <si>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</si>
  <si>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</si>
  <si>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</si>
  <si>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</si>
  <si>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</si>
  <si>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</si>
  <si>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</si>
  <si>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</si>
  <si>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</si>
  <si>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</si>
  <si>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</si>
  <si>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</si>
  <si>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</si>
  <si>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</si>
  <si>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</si>
  <si>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</si>
  <si>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</si>
  <si>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</si>
  <si>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</si>
  <si>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</si>
  <si>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</si>
  <si>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</si>
  <si>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</si>
  <si>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</si>
  <si>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</si>
  <si>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</si>
  <si>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</si>
  <si>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</si>
  <si>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</si>
  <si>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</si>
  <si>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</si>
  <si>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</si>
  <si>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</si>
  <si>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</si>
  <si>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</si>
  <si>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</si>
  <si>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</si>
  <si>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</si>
  <si>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</si>
  <si>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</si>
  <si>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</si>
  <si>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</si>
  <si>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</si>
  <si>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</si>
  <si>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</si>
  <si>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</si>
  <si>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</si>
  <si>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</si>
  <si>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</si>
  <si>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</si>
  <si>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</si>
  <si>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</si>
  <si>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</si>
  <si>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</si>
  <si>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</si>
  <si>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</si>
  <si>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</si>
  <si>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</si>
  <si>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</si>
  <si>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</si>
  <si>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</si>
  <si>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</si>
  <si>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</si>
  <si>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</si>
  <si>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</si>
  <si>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</si>
  <si>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</si>
  <si>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</si>
  <si>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</si>
  <si>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</si>
  <si>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</si>
  <si>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</si>
  <si>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</si>
  <si>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</si>
  <si>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</si>
  <si>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</si>
  <si>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</si>
  <si>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</si>
  <si>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</si>
  <si>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</si>
  <si>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</si>
  <si>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</si>
  <si>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</si>
  <si>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</si>
  <si>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</si>
  <si>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</si>
  <si>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</si>
  <si>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</si>
  <si>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</si>
  <si>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</si>
  <si>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</si>
  <si>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</si>
  <si>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</si>
  <si>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</si>
  <si>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</si>
  <si>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</si>
  <si>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</si>
  <si>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</si>
  <si>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</si>
  <si>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</si>
  <si>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</si>
  <si>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</si>
  <si>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</si>
  <si>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</si>
  <si>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</si>
  <si>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</si>
  <si>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</si>
  <si>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</si>
  <si>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</si>
  <si>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</si>
  <si>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</si>
  <si>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</si>
  <si>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</si>
  <si>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</si>
  <si>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</si>
  <si>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</si>
  <si>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</si>
  <si>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</si>
  <si>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</si>
  <si>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</si>
  <si>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</si>
  <si>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</si>
  <si>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</si>
  <si>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</si>
  <si>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</si>
  <si>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</si>
  <si>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</si>
  <si>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</si>
  <si>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</si>
  <si>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</si>
  <si>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</si>
  <si>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</si>
  <si>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</si>
  <si>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</si>
  <si>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</si>
  <si>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</si>
  <si>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</si>
  <si>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</si>
  <si>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</si>
  <si>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</si>
  <si>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</si>
  <si>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</si>
  <si>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</si>
  <si>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</si>
  <si>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</si>
  <si>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</si>
  <si>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</si>
  <si>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</si>
  <si>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</si>
  <si>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</si>
  <si>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</si>
  <si>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</si>
  <si>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</si>
  <si>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</si>
  <si>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</si>
  <si>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</si>
  <si>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</si>
  <si>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</si>
  <si>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</si>
  <si>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</si>
  <si>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</si>
  <si>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</si>
  <si>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</si>
  <si>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</si>
  <si>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</si>
  <si>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</si>
  <si>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</si>
  <si>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</si>
  <si>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</si>
  <si>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</si>
  <si>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</si>
  <si>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</si>
  <si>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</si>
  <si>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</si>
  <si>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</si>
  <si>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</si>
  <si>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</si>
  <si>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</si>
  <si>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</si>
  <si>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</si>
  <si>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</si>
  <si>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</si>
  <si>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</si>
  <si>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</si>
  <si>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</si>
  <si>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</si>
  <si>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</si>
  <si>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</si>
  <si>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</si>
  <si>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</si>
  <si>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</si>
  <si>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</si>
  <si>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</si>
  <si>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</si>
  <si>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</si>
  <si>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</si>
  <si>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</si>
  <si>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</si>
  <si>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</si>
  <si>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</si>
  <si>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</si>
  <si>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</si>
  <si>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</si>
  <si>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</si>
  <si>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</si>
  <si>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</si>
  <si>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</si>
  <si>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</si>
  <si>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</si>
  <si>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</si>
  <si>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</si>
  <si>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</si>
  <si>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</si>
  <si>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</si>
  <si>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</si>
  <si>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</si>
  <si>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</si>
  <si>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</si>
  <si>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</si>
  <si>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</si>
  <si>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</si>
  <si>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</si>
  <si>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</si>
  <si>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</si>
  <si>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</si>
  <si>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</si>
  <si>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</si>
  <si>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</si>
  <si>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</si>
  <si>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</si>
  <si>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</si>
  <si>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</si>
  <si>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</si>
  <si>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</si>
  <si>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</si>
  <si>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</si>
  <si>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</si>
  <si>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</si>
  <si>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</si>
  <si>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</si>
  <si>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</si>
  <si>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</si>
  <si>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</si>
  <si>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</si>
  <si>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</si>
  <si>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</si>
  <si>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</si>
  <si>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</si>
  <si>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</si>
  <si>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</si>
  <si>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</si>
  <si>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</si>
  <si>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</si>
  <si>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</si>
  <si>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</si>
  <si>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</si>
  <si>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</si>
  <si>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</si>
  <si>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</si>
  <si>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</si>
  <si>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</si>
  <si>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</si>
  <si>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</si>
  <si>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</si>
  <si>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</si>
  <si>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</si>
  <si>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</si>
  <si>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</si>
  <si>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</si>
  <si>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</si>
  <si>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</si>
  <si>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</si>
  <si>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</si>
  <si>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</si>
  <si>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</si>
  <si>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</si>
  <si>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</si>
  <si>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</si>
  <si>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</si>
  <si>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</si>
  <si>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</si>
  <si>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</si>
  <si>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</si>
  <si>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</si>
  <si>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</si>
  <si>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</si>
  <si>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</si>
  <si>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</si>
  <si>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</si>
  <si>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</si>
  <si>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</si>
  <si>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</si>
  <si>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</si>
  <si>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</si>
  <si>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</si>
  <si>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</si>
  <si>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</si>
  <si>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</si>
  <si>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</si>
  <si>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</si>
  <si>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</si>
  <si>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</si>
  <si>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</si>
  <si>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</si>
  <si>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</si>
  <si>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</si>
  <si>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</si>
  <si>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</si>
  <si>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</si>
  <si>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</si>
  <si>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</si>
  <si>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</si>
  <si>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</si>
  <si>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</si>
  <si>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</si>
  <si>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</si>
  <si>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</si>
  <si>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</si>
  <si>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</si>
  <si>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</si>
  <si>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</si>
  <si>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</si>
  <si>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</si>
  <si>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</si>
  <si>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</si>
  <si>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</si>
  <si>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</si>
  <si>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</si>
  <si>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</si>
  <si>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</si>
  <si>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</si>
  <si>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</si>
  <si>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</si>
  <si>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</si>
  <si>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</si>
  <si>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</si>
  <si>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</si>
  <si>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</si>
  <si>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</si>
  <si>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</si>
  <si>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</si>
  <si>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</si>
  <si>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</si>
  <si>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</si>
  <si>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</si>
  <si>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</si>
  <si>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</si>
  <si>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</si>
  <si>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</si>
  <si>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</si>
  <si>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</si>
  <si>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</si>
  <si>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</si>
  <si>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</si>
  <si>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</si>
  <si>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</si>
  <si>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</si>
  <si>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</si>
  <si>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</si>
  <si>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</si>
  <si>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</si>
  <si>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</si>
  <si>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</si>
  <si>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</si>
  <si>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</si>
  <si>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</si>
  <si>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</si>
  <si>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</si>
  <si>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</si>
  <si>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</si>
  <si>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</si>
  <si>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</si>
  <si>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</si>
  <si>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</si>
  <si>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</si>
  <si>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</si>
  <si>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</si>
  <si>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</si>
  <si>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</si>
  <si>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</si>
  <si>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</si>
  <si>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</si>
  <si>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</si>
  <si>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</si>
  <si>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</si>
  <si>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</si>
  <si>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</si>
  <si>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</si>
  <si>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</si>
  <si>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</si>
  <si>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</si>
  <si>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</si>
  <si>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</si>
  <si>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</si>
  <si>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</si>
  <si>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</si>
  <si>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</si>
  <si>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</si>
  <si>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</si>
  <si>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</si>
  <si>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</si>
  <si>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</si>
  <si>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</si>
  <si>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</si>
  <si>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</si>
  <si>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</si>
  <si>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</si>
  <si>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</si>
  <si>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</si>
  <si>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</si>
  <si>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</si>
  <si>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</si>
  <si>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</si>
  <si>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</si>
  <si>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</si>
  <si>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</si>
  <si>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</si>
  <si>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</si>
  <si>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</si>
  <si>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</si>
  <si>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</si>
  <si>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</si>
  <si>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</si>
  <si>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</si>
  <si>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</si>
  <si>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</si>
  <si>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</si>
  <si>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</si>
  <si>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</si>
  <si>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</si>
  <si>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</si>
  <si>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</si>
  <si>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</si>
  <si>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</si>
  <si>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</si>
  <si>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</si>
  <si>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</si>
  <si>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</si>
  <si>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</si>
  <si>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</si>
  <si>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</si>
  <si>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</si>
  <si>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</si>
  <si>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</si>
  <si>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</si>
  <si>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</si>
  <si>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</si>
  <si>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</si>
  <si>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</si>
  <si>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</si>
  <si>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</si>
  <si>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</si>
  <si>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</si>
  <si>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</si>
  <si>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</si>
  <si>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</si>
  <si>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</si>
  <si>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</si>
  <si>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</si>
  <si>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</si>
  <si>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</si>
  <si>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</si>
  <si>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</si>
  <si>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</si>
  <si>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</si>
  <si>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</si>
  <si>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</si>
  <si>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</si>
  <si>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</si>
  <si>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</si>
  <si>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</si>
  <si>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</si>
  <si>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</si>
  <si>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</si>
  <si>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</si>
  <si>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</si>
  <si>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</si>
  <si>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</si>
  <si>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</si>
  <si>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</si>
  <si>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</si>
  <si>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</si>
  <si>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</si>
  <si>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</si>
  <si>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</si>
  <si>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</si>
  <si>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</si>
  <si>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</si>
  <si>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</si>
  <si>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</si>
  <si>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</si>
  <si>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</si>
  <si>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</si>
  <si>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</si>
  <si>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</si>
  <si>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</si>
  <si>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</si>
  <si>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</si>
  <si>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</si>
  <si>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</si>
  <si>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</si>
  <si>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</si>
  <si>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</si>
  <si>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</si>
  <si>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</si>
  <si>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</si>
  <si>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</si>
  <si>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</si>
  <si>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</si>
  <si>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</si>
  <si>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</si>
  <si>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</si>
  <si>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</si>
  <si>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</si>
  <si>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</si>
  <si>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</si>
  <si>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</si>
  <si>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</si>
  <si>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</si>
  <si>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</si>
  <si>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</si>
  <si>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</si>
  <si>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</si>
  <si>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</si>
  <si>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</si>
  <si>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</si>
  <si>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</si>
  <si>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</si>
  <si>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</si>
  <si>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</si>
  <si>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</si>
  <si>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</si>
  <si>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</si>
  <si>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</si>
  <si>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</si>
  <si>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</si>
  <si>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</si>
  <si>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</si>
  <si>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</si>
  <si>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</si>
  <si>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</si>
  <si>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</si>
  <si>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</si>
  <si>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</si>
  <si>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</si>
  <si>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</si>
  <si>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</si>
  <si>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</si>
  <si>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</si>
  <si>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</si>
  <si>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</si>
  <si>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</si>
  <si>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</si>
  <si>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</si>
  <si>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</si>
  <si>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</si>
  <si>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</si>
  <si>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</si>
  <si>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</si>
  <si>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</si>
  <si>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</si>
  <si>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</si>
  <si>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</si>
  <si>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</si>
  <si>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</si>
  <si>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</si>
  <si>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</si>
  <si>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</si>
  <si>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</si>
  <si>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</si>
  <si>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</si>
  <si>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</si>
  <si>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</si>
  <si>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</si>
  <si>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</si>
  <si>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</si>
  <si>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</si>
  <si>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</si>
  <si>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</si>
  <si>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</si>
  <si>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</si>
  <si>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</si>
  <si>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</si>
  <si>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</si>
  <si>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</si>
  <si>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</si>
  <si>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</si>
  <si>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</si>
  <si>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</si>
  <si>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</si>
  <si>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</si>
  <si>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</si>
  <si>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</si>
  <si>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</si>
  <si>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</si>
  <si>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</si>
  <si>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</si>
  <si>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</si>
  <si>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</si>
  <si>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</si>
  <si>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</si>
  <si>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</si>
  <si>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</si>
  <si>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</si>
  <si>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</si>
  <si>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</si>
  <si>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</si>
  <si>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</si>
  <si>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</si>
  <si>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</si>
  <si>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</si>
  <si>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</si>
  <si>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</si>
  <si>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</si>
  <si>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</si>
  <si>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</si>
  <si>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</si>
  <si>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</si>
  <si>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</si>
  <si>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</si>
  <si>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</si>
  <si>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</si>
  <si>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</si>
  <si>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</si>
  <si>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</si>
  <si>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</si>
  <si>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</si>
  <si>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</si>
  <si>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</si>
  <si>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</si>
  <si>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</si>
  <si>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</si>
  <si>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</si>
  <si>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</si>
  <si>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</si>
  <si>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</si>
  <si>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</si>
  <si>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</si>
  <si>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</si>
  <si>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</si>
  <si>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</si>
  <si>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</si>
  <si>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</si>
  <si>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</si>
  <si>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</si>
  <si>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</si>
  <si>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</si>
  <si>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</si>
  <si>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</si>
  <si>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</si>
  <si>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</si>
  <si>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</si>
  <si>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</si>
  <si>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</si>
  <si>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</si>
  <si>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</si>
  <si>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</si>
  <si>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</si>
  <si>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</si>
  <si>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</si>
  <si>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</si>
  <si>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</si>
  <si>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</si>
  <si>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</si>
  <si>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</si>
  <si>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</si>
  <si>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</si>
  <si>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</si>
  <si>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</si>
  <si>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</si>
  <si>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</si>
  <si>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</si>
  <si>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</si>
  <si>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</si>
  <si>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</si>
  <si>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</si>
  <si>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</si>
  <si>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</si>
  <si>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</si>
  <si>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</si>
  <si>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</si>
  <si>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</si>
  <si>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</si>
  <si>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</si>
  <si>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</si>
  <si>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</si>
  <si>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</si>
  <si>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</si>
  <si>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</si>
  <si>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</si>
  <si>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</si>
  <si>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</si>
  <si>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</si>
  <si>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</si>
  <si>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</si>
  <si>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</si>
  <si>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</si>
  <si>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</si>
  <si>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</si>
  <si>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</si>
  <si>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</si>
  <si>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</si>
  <si>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</si>
  <si>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</si>
  <si>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</si>
  <si>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</si>
  <si>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</si>
  <si>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</si>
  <si>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</si>
  <si>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</si>
  <si>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</si>
  <si>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</si>
  <si>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</si>
  <si>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</si>
  <si>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</si>
  <si>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</si>
  <si>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</si>
  <si>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</si>
  <si>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</si>
  <si>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</si>
  <si>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</si>
  <si>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</si>
  <si>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</si>
  <si>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</si>
  <si>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</si>
  <si>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</si>
  <si>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</si>
  <si>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</si>
  <si>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</si>
  <si>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</si>
  <si>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</si>
  <si>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</si>
  <si>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</si>
  <si>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</si>
  <si>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</si>
  <si>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</si>
  <si>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</si>
  <si>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</si>
  <si>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</si>
  <si>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</si>
  <si>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</si>
  <si>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</si>
  <si>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</si>
  <si>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</si>
  <si>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</si>
  <si>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</si>
  <si>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</si>
  <si>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</si>
  <si>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</si>
  <si>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</si>
  <si>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</si>
  <si>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</si>
  <si>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</si>
  <si>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</si>
  <si>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</si>
  <si>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</si>
  <si>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</si>
  <si>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</si>
  <si>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</si>
  <si>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</si>
  <si>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</si>
  <si>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</si>
  <si>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</si>
  <si>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</si>
  <si>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</si>
  <si>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</si>
  <si>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</si>
  <si>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</si>
  <si>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</si>
  <si>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</si>
  <si>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</si>
  <si>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</si>
  <si>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</si>
  <si>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</si>
  <si>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</si>
  <si>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</si>
  <si>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</si>
  <si>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</si>
  <si>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</si>
  <si>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</si>
  <si>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</si>
  <si>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</si>
  <si>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</si>
  <si>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</si>
  <si>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</si>
  <si>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</si>
  <si>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</si>
  <si>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</si>
  <si>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</si>
  <si>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</si>
  <si>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</si>
  <si>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</si>
  <si>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</si>
  <si>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</si>
  <si>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</si>
  <si>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</si>
  <si>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</si>
  <si>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</si>
  <si>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</si>
  <si>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</si>
  <si>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</si>
  <si>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</si>
  <si>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</si>
  <si>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</si>
  <si>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</si>
  <si>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</si>
  <si>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</si>
  <si>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</si>
  <si>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</si>
  <si>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</si>
  <si>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</si>
  <si>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</si>
  <si>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</si>
  <si>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</si>
  <si>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</si>
  <si>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</si>
  <si>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</si>
  <si>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</si>
  <si>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</si>
  <si>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</si>
  <si>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</si>
  <si>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</si>
  <si>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</si>
  <si>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</si>
  <si>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</si>
  <si>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</si>
  <si>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</si>
  <si>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</si>
  <si>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</si>
  <si>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</si>
  <si>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</si>
  <si>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</si>
  <si>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</si>
  <si>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</si>
  <si>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</si>
  <si>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</si>
  <si>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</si>
  <si>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</si>
  <si>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</si>
  <si>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</si>
  <si>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</si>
  <si>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</si>
  <si>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</si>
  <si>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</si>
  <si>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</si>
  <si>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</si>
  <si>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</si>
  <si>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</si>
  <si>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</si>
  <si>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</si>
  <si>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</si>
  <si>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</si>
  <si>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</si>
  <si>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</si>
  <si>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</si>
  <si>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</si>
  <si>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</si>
  <si>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</si>
  <si>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</si>
  <si>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</si>
  <si>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</si>
  <si>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</si>
  <si>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</si>
  <si>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</si>
  <si>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</si>
  <si>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</si>
  <si>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</si>
  <si>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</si>
  <si>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</si>
  <si>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</si>
  <si>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</si>
  <si>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</si>
  <si>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</si>
  <si>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</si>
  <si>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</si>
  <si>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</si>
  <si>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</si>
  <si>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</si>
  <si>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</si>
  <si>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</si>
  <si>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</si>
  <si>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</si>
  <si>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</si>
  <si>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</si>
  <si>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</si>
  <si>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</si>
  <si>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</si>
  <si>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</si>
  <si>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</si>
  <si>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</si>
  <si>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</si>
  <si>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</si>
  <si>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</si>
  <si>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</si>
  <si>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</si>
  <si>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</si>
  <si>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</si>
  <si>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</si>
  <si>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</si>
  <si>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</si>
  <si>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</si>
  <si>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</si>
  <si>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</si>
  <si>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</si>
  <si>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</si>
  <si>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</si>
  <si>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</si>
  <si>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</si>
  <si>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</si>
  <si>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</si>
  <si>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</si>
  <si>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</si>
  <si>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</si>
  <si>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</si>
  <si>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</si>
  <si>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</si>
  <si>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</si>
  <si>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</si>
  <si>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</si>
  <si>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</si>
  <si>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</si>
  <si>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</si>
  <si>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</si>
  <si>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</si>
  <si>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</si>
  <si>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</si>
  <si>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</si>
  <si>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</si>
  <si>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</si>
  <si>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</si>
  <si>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</si>
  <si>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</si>
  <si>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</si>
  <si>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</si>
  <si>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</si>
  <si>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</si>
  <si>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</si>
  <si>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</si>
  <si>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</si>
  <si>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</si>
  <si>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</si>
  <si>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</si>
  <si>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</si>
  <si>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</si>
  <si>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</si>
  <si>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</si>
  <si>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</si>
  <si>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</si>
  <si>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</si>
  <si>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</si>
  <si>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</si>
  <si>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</si>
  <si>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</si>
  <si>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</si>
  <si>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</si>
  <si>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</si>
  <si>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</si>
  <si>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</si>
  <si>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</si>
  <si>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</si>
  <si>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</si>
  <si>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</si>
  <si>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</si>
  <si>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</si>
  <si>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</si>
  <si>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</si>
  <si>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</si>
  <si>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</si>
  <si>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</si>
  <si>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</si>
  <si>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</si>
  <si>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</si>
  <si>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</si>
  <si>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</si>
  <si>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</si>
  <si>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</si>
  <si>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</si>
  <si>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</si>
  <si>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</si>
  <si>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</si>
  <si>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</si>
  <si>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</si>
  <si>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</si>
  <si>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</si>
  <si>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</si>
  <si>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</si>
  <si>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</si>
  <si>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</si>
  <si>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</si>
  <si>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</si>
  <si>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</si>
  <si>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</si>
  <si>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</si>
  <si>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</si>
  <si>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</si>
  <si>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</si>
  <si>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</si>
  <si>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</si>
  <si>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</si>
  <si>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</si>
  <si>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</si>
  <si>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</si>
  <si>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</si>
  <si>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</si>
  <si>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</si>
  <si>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</si>
  <si>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</si>
  <si>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</si>
  <si>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</si>
  <si>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</si>
  <si>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</si>
  <si>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</si>
  <si>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</si>
  <si>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</si>
  <si>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</si>
  <si>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</si>
  <si>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</si>
  <si>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</si>
  <si>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</si>
  <si>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</si>
  <si>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</si>
  <si>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</si>
  <si>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</si>
  <si>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</si>
  <si>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</si>
  <si>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</si>
  <si>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</si>
  <si>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</si>
  <si>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</si>
  <si>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</si>
  <si>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</si>
  <si>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</si>
  <si>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</si>
  <si>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</si>
  <si>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</si>
  <si>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</si>
  <si>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</si>
  <si>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</si>
  <si>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</si>
  <si>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</si>
  <si>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</si>
  <si>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</si>
  <si>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</si>
  <si>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</si>
  <si>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</si>
  <si>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</si>
  <si>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</si>
  <si>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</si>
  <si>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</si>
  <si>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</si>
  <si>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</si>
  <si>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</si>
  <si>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</si>
  <si>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</si>
  <si>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</si>
  <si>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</si>
  <si>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</si>
  <si>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</si>
  <si>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</si>
  <si>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</si>
  <si>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</si>
  <si>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</si>
  <si>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</si>
  <si>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</si>
  <si>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</si>
  <si>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</si>
  <si>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</si>
  <si>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</si>
  <si>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</si>
  <si>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</si>
  <si>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</si>
  <si>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</si>
  <si>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</si>
  <si>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</si>
  <si>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</si>
  <si>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</si>
  <si>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</si>
  <si>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</si>
  <si>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</si>
  <si>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</si>
  <si>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</si>
  <si>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</si>
  <si>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</si>
  <si>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</si>
  <si>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</si>
  <si>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</si>
  <si>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</si>
  <si>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</si>
  <si>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</si>
  <si>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</si>
  <si>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</si>
  <si>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</si>
  <si>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</si>
  <si>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</si>
  <si>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</si>
  <si>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</si>
  <si>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</si>
  <si>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</si>
  <si>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</si>
  <si>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</si>
  <si>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</si>
  <si>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</si>
  <si>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</si>
  <si>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</si>
  <si>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</si>
  <si>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</si>
  <si>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</si>
  <si>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</si>
  <si>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</si>
  <si>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</si>
  <si>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</si>
  <si>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</si>
  <si>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</si>
  <si>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</si>
  <si>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</si>
  <si>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</si>
  <si>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</si>
  <si>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</si>
  <si>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</si>
  <si>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</si>
  <si>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</si>
  <si>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</si>
  <si>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</si>
  <si>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</si>
  <si>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</si>
  <si>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</si>
  <si>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</si>
  <si>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</si>
  <si>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</si>
  <si>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</si>
  <si>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</si>
  <si>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</si>
  <si>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</si>
  <si>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</si>
  <si>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</si>
  <si>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</si>
  <si>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</si>
  <si>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</si>
  <si>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</si>
  <si>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</si>
  <si>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</si>
  <si>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</si>
  <si>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</si>
  <si>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</si>
  <si>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</si>
  <si>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</si>
  <si>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</si>
  <si>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</si>
  <si>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</si>
  <si>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</si>
  <si>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</si>
  <si>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</si>
  <si>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</si>
  <si>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</si>
  <si>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</si>
  <si>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</si>
  <si>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</si>
  <si>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</si>
  <si>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</si>
  <si>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</si>
  <si>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</si>
  <si>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</si>
  <si>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</si>
  <si>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</si>
  <si>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</si>
  <si>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</si>
  <si>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</si>
  <si>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</si>
  <si>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</si>
  <si>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</si>
  <si>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</si>
  <si>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</si>
  <si>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</si>
  <si>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</si>
  <si>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</si>
  <si>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</si>
  <si>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</si>
  <si>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</si>
  <si>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</si>
  <si>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</si>
  <si>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</si>
  <si>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</si>
  <si>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</si>
  <si>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</si>
  <si>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</si>
  <si>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</si>
  <si>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</si>
  <si>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</si>
  <si>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</si>
  <si>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</si>
  <si>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</si>
  <si>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</si>
  <si>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</si>
  <si>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</si>
  <si>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</si>
  <si>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</si>
  <si>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</si>
  <si>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</si>
  <si>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</si>
  <si>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</si>
  <si>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</si>
  <si>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</si>
  <si>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</si>
  <si>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</si>
  <si>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</si>
  <si>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</si>
  <si>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</si>
  <si>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</si>
  <si>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</si>
  <si>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</si>
  <si>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</si>
  <si>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</si>
  <si>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</si>
  <si>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</si>
  <si>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</si>
  <si>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</si>
  <si>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</si>
  <si>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</si>
  <si>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</si>
  <si>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</si>
  <si>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</si>
  <si>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</si>
  <si>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</si>
  <si>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</si>
  <si>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</si>
  <si>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</si>
  <si>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</si>
  <si>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</si>
  <si>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</si>
  <si>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</si>
  <si>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</si>
  <si>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</si>
  <si>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</si>
  <si>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</si>
  <si>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</si>
  <si>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</si>
  <si>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</si>
  <si>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</si>
  <si>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</si>
  <si>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</si>
  <si>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</si>
  <si>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</si>
  <si>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</si>
  <si>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</si>
  <si>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</si>
  <si>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</si>
  <si>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</si>
  <si>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</si>
  <si>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</si>
  <si>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</si>
  <si>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</si>
  <si>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</si>
  <si>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</si>
  <si>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</si>
  <si>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</si>
  <si>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</si>
  <si>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</si>
  <si>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</si>
  <si>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</si>
  <si>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</si>
  <si>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</si>
  <si>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</si>
  <si>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</si>
  <si>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</si>
  <si>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</si>
  <si>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</si>
  <si>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</si>
  <si>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</si>
  <si>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</si>
  <si>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</si>
  <si>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</si>
  <si>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</si>
  <si>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</si>
  <si>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</si>
  <si>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</si>
  <si>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</si>
  <si>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</si>
  <si>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</si>
  <si>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</si>
  <si>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</si>
  <si>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</si>
  <si>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</si>
  <si>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</si>
  <si>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</si>
  <si>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</si>
  <si>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</si>
  <si>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</si>
  <si>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</si>
  <si>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</si>
  <si>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</si>
  <si>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</si>
  <si>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</si>
  <si>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</si>
  <si>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</si>
  <si>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</si>
  <si>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</si>
  <si>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</si>
  <si>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</si>
  <si>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</si>
  <si>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</si>
  <si>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</si>
  <si>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</si>
  <si>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</si>
  <si>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</si>
  <si>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</si>
  <si>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</si>
  <si>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</si>
  <si>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</si>
  <si>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</si>
  <si>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</si>
  <si>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</si>
  <si>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</si>
  <si>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</si>
  <si>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</si>
  <si>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</si>
  <si>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</si>
  <si>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</si>
  <si>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</si>
  <si>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</si>
  <si>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</si>
  <si>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</si>
  <si>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</si>
  <si>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</si>
  <si>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</si>
  <si>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</si>
  <si>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</si>
  <si>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</si>
  <si>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</si>
  <si>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</si>
  <si>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</si>
  <si>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</si>
  <si>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</si>
  <si>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</si>
  <si>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</si>
  <si>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</si>
  <si>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</si>
  <si>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</si>
  <si>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</si>
  <si>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</si>
  <si>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</si>
  <si>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</si>
  <si>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</si>
  <si>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</si>
  <si>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</si>
  <si>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</si>
  <si>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</si>
  <si>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</si>
  <si>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</si>
  <si>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</si>
  <si>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</si>
  <si>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</si>
  <si>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</si>
  <si>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</si>
  <si>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</si>
  <si>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</si>
  <si>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</si>
  <si>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</si>
  <si>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</si>
  <si>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</si>
  <si>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</si>
  <si>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</si>
  <si>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</si>
  <si>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</si>
  <si>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</si>
  <si>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</si>
  <si>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</si>
  <si>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</si>
  <si>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</si>
  <si>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</si>
  <si>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</si>
  <si>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</si>
  <si>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</si>
  <si>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</si>
  <si>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</si>
  <si>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</si>
  <si>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</si>
  <si>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</si>
  <si>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</si>
  <si>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</si>
  <si>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</si>
  <si>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</si>
  <si>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</si>
  <si>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</si>
  <si>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</si>
  <si>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</si>
  <si>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</si>
  <si>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</si>
  <si>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</si>
  <si>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</si>
  <si>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</si>
  <si>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</si>
  <si>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</si>
  <si>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</si>
  <si>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</si>
  <si>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</si>
  <si>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</si>
  <si>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</si>
  <si>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</si>
  <si>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</si>
  <si>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</si>
  <si>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</si>
  <si>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</si>
  <si>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</si>
  <si>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</si>
  <si>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</si>
  <si>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</si>
  <si>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</si>
  <si>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</si>
  <si>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</si>
  <si>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</si>
  <si>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</si>
  <si>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</si>
  <si>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</si>
  <si>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</si>
  <si>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</si>
  <si>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</si>
  <si>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</si>
  <si>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</si>
  <si>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</si>
  <si>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</si>
  <si>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</si>
  <si>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</si>
  <si>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</si>
  <si>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</si>
  <si>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</si>
  <si>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</si>
  <si>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</si>
  <si>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</si>
  <si>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</si>
  <si>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</si>
  <si>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</si>
  <si>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</si>
  <si>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</si>
  <si>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</si>
  <si>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</si>
  <si>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</si>
  <si>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</si>
  <si>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</si>
  <si>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</si>
  <si>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</si>
  <si>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</si>
  <si>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</si>
  <si>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</si>
  <si>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</si>
  <si>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</si>
  <si>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</si>
  <si>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</si>
  <si>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</si>
  <si>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</si>
  <si>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</si>
  <si>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</si>
  <si>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</si>
  <si>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</si>
  <si>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</si>
  <si>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</si>
  <si>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</si>
  <si>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</si>
  <si>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</si>
  <si>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</si>
  <si>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</si>
  <si>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</si>
  <si>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</si>
  <si>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</si>
  <si>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</si>
  <si>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</si>
  <si>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</si>
  <si>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</si>
  <si>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</si>
  <si>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</si>
  <si>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</si>
  <si>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</si>
  <si>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</si>
  <si>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</si>
  <si>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</si>
  <si>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</si>
  <si>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</si>
  <si>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</si>
  <si>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</si>
  <si>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</si>
  <si>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</si>
  <si>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</si>
  <si>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</si>
  <si>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</si>
  <si>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</si>
  <si>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</si>
  <si>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</si>
  <si>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</si>
  <si>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</si>
  <si>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</si>
  <si>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</si>
  <si>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</si>
  <si>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</si>
  <si>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</si>
  <si>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</si>
  <si>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</si>
  <si>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</si>
  <si>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</si>
  <si>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</si>
  <si>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</si>
  <si>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</si>
  <si>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</si>
  <si>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</si>
  <si>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</si>
  <si>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</si>
  <si>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</si>
  <si>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</si>
  <si>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</si>
  <si>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</si>
  <si>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</si>
  <si>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</si>
  <si>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</si>
  <si>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</si>
  <si>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</si>
  <si>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</si>
  <si>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</si>
  <si>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</si>
  <si>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</si>
  <si>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</si>
  <si>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</si>
  <si>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</si>
  <si>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</si>
  <si>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</si>
  <si>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</si>
  <si>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</si>
  <si>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</si>
  <si>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</si>
  <si>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</si>
  <si>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</si>
  <si>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</si>
  <si>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</si>
  <si>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</si>
  <si>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</si>
  <si>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</si>
  <si>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</si>
  <si>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</si>
  <si>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</si>
  <si>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</si>
  <si>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</si>
  <si>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</si>
  <si>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</si>
  <si>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</si>
  <si>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</si>
  <si>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</si>
  <si>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</si>
  <si>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</si>
  <si>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</si>
  <si>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</si>
  <si>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</si>
  <si>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</si>
  <si>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</si>
  <si>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</si>
  <si>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</si>
  <si>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</si>
  <si>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</si>
  <si>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</si>
  <si>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</si>
  <si>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</si>
  <si>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</si>
  <si>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</si>
  <si>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</si>
  <si>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</si>
  <si>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</si>
  <si>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</si>
  <si>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</si>
  <si>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</si>
  <si>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</si>
  <si>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</si>
  <si>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</si>
  <si>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</si>
  <si>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</si>
  <si>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</si>
  <si>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</si>
  <si>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</si>
  <si>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</si>
  <si>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</si>
  <si>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</si>
  <si>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</si>
  <si>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</si>
  <si>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</si>
  <si>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</si>
  <si>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</si>
  <si>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</si>
  <si>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</si>
  <si>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</si>
  <si>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</si>
  <si>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</si>
  <si>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</si>
  <si>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</si>
  <si>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</si>
  <si>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</si>
  <si>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</si>
  <si>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</si>
  <si>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</si>
  <si>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</si>
  <si>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</si>
  <si>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</si>
  <si>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</si>
  <si>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</si>
  <si>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</si>
  <si>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</si>
  <si>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</si>
  <si>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</si>
  <si>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</si>
  <si>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</si>
  <si>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</si>
  <si>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</si>
  <si>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</si>
  <si>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</si>
  <si>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</si>
  <si>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</si>
  <si>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</si>
  <si>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</si>
  <si>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</si>
  <si>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</si>
  <si>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</si>
  <si>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</si>
  <si>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</si>
  <si>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</si>
  <si>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</si>
  <si>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</si>
  <si>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</si>
  <si>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</si>
  <si>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</si>
  <si>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</si>
  <si>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</si>
  <si>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</si>
  <si>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</si>
  <si>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</si>
  <si>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</si>
  <si>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</si>
  <si>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</si>
  <si>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</si>
  <si>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</si>
  <si>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</si>
  <si>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</si>
  <si>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</si>
  <si>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</si>
  <si>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</si>
  <si>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</si>
  <si>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</si>
  <si>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</si>
  <si>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</si>
  <si>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</si>
  <si>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</si>
  <si>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</si>
  <si>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</si>
  <si>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</si>
  <si>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</si>
  <si>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</si>
  <si>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</si>
  <si>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</si>
  <si>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</si>
  <si>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</si>
  <si>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</si>
  <si>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</si>
  <si>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</si>
  <si>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</si>
  <si>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</si>
  <si>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</si>
  <si>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</si>
  <si>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</si>
  <si>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</si>
  <si>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</si>
  <si>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</si>
  <si>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</si>
  <si>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</si>
  <si>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</si>
  <si>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</si>
  <si>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</si>
  <si>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</si>
  <si>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</si>
  <si>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</si>
  <si>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</si>
  <si>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</si>
  <si>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</si>
  <si>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</si>
  <si>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</si>
  <si>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</si>
  <si>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</si>
  <si>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</si>
  <si>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</si>
  <si>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</si>
  <si>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</si>
  <si>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</si>
  <si>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</si>
  <si>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</si>
  <si>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</si>
  <si>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</si>
  <si>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</si>
  <si>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</si>
  <si>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</si>
  <si>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</si>
  <si>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</si>
  <si>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</si>
  <si>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</si>
  <si>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</si>
  <si>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</si>
  <si>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</si>
  <si>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</si>
  <si>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</si>
  <si>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</si>
  <si>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</si>
  <si>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</si>
  <si>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</si>
  <si>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</si>
  <si>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</si>
  <si>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</si>
  <si>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</si>
  <si>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</si>
  <si>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</si>
  <si>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</si>
  <si>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</si>
  <si>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</si>
  <si>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</si>
  <si>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</si>
  <si>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</si>
  <si>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</si>
  <si>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</si>
  <si>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</si>
  <si>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</si>
  <si>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</si>
  <si>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</si>
  <si>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</si>
  <si>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</si>
  <si>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</si>
  <si>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</si>
  <si>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</si>
  <si>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</si>
  <si>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</si>
  <si>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</si>
  <si>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</si>
  <si>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</si>
  <si>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</si>
  <si>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</si>
  <si>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</si>
  <si>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</si>
  <si>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</si>
  <si>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</si>
  <si>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</si>
  <si>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</si>
  <si>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</si>
  <si>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</si>
  <si>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</si>
  <si>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</si>
  <si>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</si>
  <si>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</si>
  <si>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</si>
  <si>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</si>
  <si>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</si>
  <si>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</si>
  <si>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</si>
  <si>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</si>
  <si>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</si>
  <si>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</si>
  <si>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</si>
  <si>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</si>
  <si>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</si>
  <si>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</si>
  <si>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</si>
  <si>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</si>
  <si>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</si>
  <si>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</si>
  <si>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</si>
  <si>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</si>
  <si>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</si>
  <si>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</si>
  <si>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</si>
  <si>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</si>
  <si>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</si>
  <si>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</si>
  <si>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</si>
  <si>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</si>
  <si>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</si>
  <si>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</si>
  <si>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</si>
  <si>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</si>
  <si>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</si>
  <si>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</si>
  <si>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</si>
  <si>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</si>
  <si>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</si>
  <si>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</si>
  <si>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</si>
  <si>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</si>
  <si>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</si>
  <si>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</si>
  <si>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</si>
  <si>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</si>
  <si>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</si>
  <si>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</si>
  <si>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</si>
  <si>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</si>
  <si>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</si>
  <si>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</si>
  <si>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</si>
  <si>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</si>
  <si>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</si>
  <si>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</si>
  <si>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</si>
  <si>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</si>
  <si>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</si>
  <si>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</si>
  <si>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</si>
  <si>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</si>
  <si>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</si>
  <si>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</si>
  <si>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</si>
  <si>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</si>
  <si>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</si>
  <si>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</si>
  <si>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</si>
  <si>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</si>
  <si>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</si>
  <si>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</si>
  <si>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</si>
  <si>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</si>
  <si>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</si>
  <si>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</si>
  <si>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</si>
  <si>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</si>
  <si>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</si>
  <si>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</si>
  <si>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</si>
  <si>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</si>
  <si>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</si>
  <si>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</si>
  <si>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</si>
  <si>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</si>
  <si>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</si>
  <si>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</si>
  <si>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</si>
  <si>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</si>
  <si>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</si>
  <si>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</si>
  <si>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</si>
  <si>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</si>
  <si>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</si>
  <si>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</si>
  <si>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</si>
  <si>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</si>
  <si>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</si>
  <si>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</si>
  <si>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</si>
  <si>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</si>
  <si>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</si>
  <si>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</si>
  <si>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</si>
  <si>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</si>
  <si>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</si>
  <si>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</si>
  <si>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</si>
  <si>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</si>
  <si>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</si>
  <si>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</si>
  <si>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</si>
  <si>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</si>
  <si>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</si>
  <si>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</si>
  <si>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</si>
  <si>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</si>
  <si>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</si>
  <si>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</si>
  <si>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</si>
  <si>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</si>
  <si>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</si>
  <si>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</si>
  <si>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</si>
  <si>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</si>
  <si>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</si>
  <si>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</si>
  <si>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</si>
  <si>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</si>
  <si>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</si>
  <si>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</si>
  <si>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</si>
  <si>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</si>
  <si>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</si>
  <si>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</si>
  <si>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</si>
  <si>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</si>
  <si>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</si>
  <si>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</si>
  <si>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</si>
  <si>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</si>
  <si>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</si>
  <si>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</si>
  <si>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</si>
  <si>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</si>
  <si>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</si>
  <si>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</si>
  <si>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</si>
  <si>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</si>
  <si>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</si>
  <si>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</si>
  <si>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</si>
  <si>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</si>
  <si>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</si>
  <si>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</si>
  <si>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</si>
  <si>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</si>
  <si>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</si>
  <si>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</si>
  <si>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</si>
  <si>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</si>
  <si>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</si>
  <si>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</si>
  <si>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</si>
  <si>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</si>
  <si>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</si>
  <si>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</si>
  <si>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</si>
  <si>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</si>
  <si>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</si>
  <si>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</si>
  <si>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</si>
  <si>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</si>
  <si>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</si>
  <si>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</si>
  <si>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</si>
  <si>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</si>
  <si>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</si>
  <si>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</si>
  <si>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</si>
  <si>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</si>
  <si>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</si>
  <si>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</si>
  <si>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</si>
  <si>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</si>
  <si>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</si>
  <si>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</si>
  <si>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</si>
  <si>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</si>
  <si>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</si>
  <si>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</si>
  <si>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</si>
  <si>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</si>
  <si>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</si>
  <si>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</si>
  <si>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</si>
  <si>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</si>
  <si>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</si>
  <si>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</si>
  <si>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</si>
  <si>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</si>
  <si>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</si>
  <si>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</si>
  <si>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</si>
  <si>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</si>
  <si>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</si>
  <si>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</si>
  <si>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</si>
  <si>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</si>
  <si>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</si>
  <si>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</si>
  <si>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</si>
  <si>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</si>
  <si>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</si>
  <si>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</si>
  <si>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</si>
  <si>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</si>
  <si>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</si>
  <si>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</si>
  <si>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</si>
  <si>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</si>
  <si>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</si>
  <si>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</si>
  <si>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</si>
  <si>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</si>
  <si>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</si>
  <si>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</si>
  <si>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</si>
  <si>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</si>
  <si>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</si>
  <si>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</si>
  <si>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</si>
  <si>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</si>
  <si>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</si>
  <si>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</si>
  <si>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</si>
  <si>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</si>
  <si>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</si>
  <si>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</si>
  <si>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</si>
  <si>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</si>
  <si>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</si>
  <si>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</si>
  <si>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</si>
  <si>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</si>
  <si>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</si>
  <si>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</si>
  <si>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</si>
  <si>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</si>
  <si>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</si>
  <si>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</si>
  <si>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</si>
  <si>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</si>
  <si>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</si>
  <si>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</si>
  <si>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</si>
  <si>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</si>
  <si>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</si>
  <si>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</si>
  <si>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</si>
  <si>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</si>
  <si>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</si>
  <si>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</si>
  <si>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</si>
  <si>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</si>
  <si>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</si>
  <si>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</si>
  <si>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</si>
  <si>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</si>
  <si>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</si>
  <si>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</si>
  <si>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</si>
  <si>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</si>
  <si>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</si>
  <si>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</si>
  <si>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</si>
  <si>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</si>
  <si>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</si>
  <si>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</si>
  <si>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</si>
  <si>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</si>
  <si>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</si>
  <si>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</si>
  <si>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</si>
  <si>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</si>
  <si>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</si>
  <si>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</si>
  <si>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</si>
  <si>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</si>
  <si>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</si>
  <si>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</si>
  <si>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</si>
  <si>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</si>
  <si>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</si>
  <si>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</si>
  <si>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</si>
  <si>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</si>
  <si>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</si>
  <si>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</si>
  <si>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</si>
  <si>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</si>
  <si>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</si>
  <si>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</si>
  <si>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</si>
  <si>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</si>
  <si>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</si>
  <si>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</si>
  <si>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</si>
  <si>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</si>
  <si>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</si>
  <si>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</si>
  <si>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</si>
  <si>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</si>
  <si>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</si>
  <si>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</si>
  <si>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</si>
  <si>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</si>
  <si>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</si>
  <si>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</si>
  <si>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</si>
  <si>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</si>
  <si>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</si>
  <si>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</si>
  <si>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</si>
  <si>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</si>
  <si>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</si>
  <si>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</si>
  <si>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</si>
  <si>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</si>
  <si>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</si>
  <si>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</si>
  <si>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</si>
  <si>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</si>
  <si>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</si>
  <si>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</si>
  <si>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</si>
  <si>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</si>
  <si>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</si>
  <si>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</si>
  <si>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</si>
  <si>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</si>
  <si>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</si>
  <si>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</si>
  <si>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</si>
  <si>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</si>
  <si>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</si>
  <si>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</si>
  <si>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</si>
  <si>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</si>
  <si>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</si>
  <si>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</si>
  <si>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</si>
  <si>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</si>
  <si>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</si>
  <si>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</si>
  <si>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</si>
  <si>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</si>
  <si>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</si>
  <si>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</si>
  <si>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</si>
  <si>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</si>
  <si>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</si>
  <si>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</si>
  <si>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</si>
  <si>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</si>
  <si>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</si>
  <si>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</si>
  <si>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</si>
  <si>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</si>
  <si>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</si>
  <si>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</si>
  <si>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</si>
  <si>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</si>
  <si>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</si>
  <si>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</si>
  <si>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</si>
  <si>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</si>
  <si>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</si>
  <si>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</si>
  <si>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</si>
  <si>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</si>
  <si>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</si>
  <si>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</si>
  <si>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</si>
  <si>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</si>
  <si>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</si>
  <si>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</si>
  <si>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</si>
  <si>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</si>
  <si>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</si>
  <si>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</si>
  <si>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</si>
  <si>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</si>
  <si>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</si>
  <si>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</si>
  <si>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</si>
  <si>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</si>
  <si>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</si>
  <si>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</si>
  <si>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</si>
  <si>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</si>
  <si>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</si>
  <si>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</si>
  <si>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</si>
  <si>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</si>
  <si>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</si>
  <si>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</si>
  <si>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</si>
  <si>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</si>
  <si>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</si>
  <si>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</si>
  <si>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</si>
  <si>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</si>
  <si>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</si>
  <si>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</si>
  <si>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</si>
  <si>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</si>
  <si>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</si>
  <si>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</si>
  <si>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</si>
  <si>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</si>
  <si>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</si>
  <si>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</si>
  <si>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</si>
  <si>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</si>
  <si>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</si>
  <si>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</si>
  <si>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</si>
  <si>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</si>
  <si>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</si>
  <si>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</si>
  <si>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</si>
  <si>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</si>
  <si>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</si>
  <si>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</si>
  <si>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</si>
  <si>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</si>
  <si>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</si>
  <si>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</si>
  <si>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</si>
  <si>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</si>
  <si>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</si>
  <si>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</si>
  <si>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</si>
  <si>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</si>
  <si>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</si>
  <si>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</si>
  <si>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</si>
  <si>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</si>
  <si>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</si>
  <si>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</si>
  <si>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</si>
  <si>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</si>
  <si>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</si>
  <si>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</si>
  <si>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</si>
  <si>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</si>
  <si>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</si>
  <si>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</si>
  <si>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</si>
  <si>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</si>
  <si>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</si>
  <si>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</si>
  <si>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</si>
  <si>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</si>
  <si>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</si>
  <si>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</si>
  <si>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</si>
  <si>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</si>
  <si>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</si>
  <si>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</si>
  <si>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</si>
  <si>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</si>
  <si>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</si>
  <si>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</si>
  <si>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</si>
  <si>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</si>
  <si>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</si>
  <si>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</si>
  <si>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</si>
  <si>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</si>
  <si>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</si>
  <si>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</si>
  <si>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</si>
  <si>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</si>
  <si>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</si>
  <si>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</si>
  <si>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</si>
  <si>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</si>
  <si>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</si>
  <si>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</si>
  <si>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</si>
  <si>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</si>
  <si>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</si>
  <si>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</si>
  <si>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</si>
  <si>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</si>
  <si>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</si>
  <si>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</si>
  <si>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</si>
  <si>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</si>
  <si>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</si>
  <si>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</si>
  <si>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</si>
  <si>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</si>
  <si>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</si>
  <si>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</si>
  <si>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</si>
  <si>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</si>
  <si>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</si>
  <si>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</si>
  <si>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</si>
  <si>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</si>
  <si>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</si>
  <si>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</si>
  <si>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</si>
  <si>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</si>
  <si>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</si>
  <si>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</si>
  <si>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</si>
  <si>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</si>
  <si>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</si>
  <si>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</si>
  <si>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</si>
  <si>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</si>
  <si>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</si>
  <si>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</si>
  <si>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</si>
  <si>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</si>
  <si>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</si>
  <si>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</si>
  <si>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</si>
  <si>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</si>
  <si>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</si>
  <si>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</si>
  <si>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</si>
  <si>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</si>
  <si>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</si>
  <si>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</si>
  <si>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</si>
  <si>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</si>
  <si>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</si>
  <si>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</si>
  <si>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</si>
  <si>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</si>
  <si>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</si>
  <si>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</si>
  <si>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</si>
  <si>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</si>
  <si>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</si>
  <si>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</si>
  <si>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</si>
  <si>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</si>
  <si>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</si>
  <si>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</si>
  <si>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</si>
  <si>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</si>
  <si>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</si>
  <si>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</si>
  <si>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</si>
  <si>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</si>
  <si>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</si>
  <si>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</si>
  <si>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</si>
  <si>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</si>
  <si>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</si>
  <si>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</si>
  <si>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</si>
  <si>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</si>
  <si>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</si>
  <si>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</si>
  <si>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</si>
  <si>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</si>
  <si>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</si>
  <si>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</si>
  <si>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</si>
  <si>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</si>
  <si>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</si>
  <si>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</si>
  <si>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</si>
  <si>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</si>
  <si>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</si>
  <si>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</si>
  <si>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</si>
  <si>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</si>
  <si>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</si>
  <si>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</si>
  <si>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</si>
  <si>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</si>
  <si>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</si>
  <si>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</si>
  <si>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</si>
  <si>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</si>
  <si>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</si>
  <si>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</si>
  <si>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</si>
  <si>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</si>
  <si>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</si>
  <si>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</si>
  <si>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</si>
  <si>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</si>
  <si>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</si>
  <si>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</si>
  <si>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</si>
  <si>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</si>
  <si>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</si>
  <si>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</si>
  <si>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</si>
  <si>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</si>
  <si>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</si>
  <si>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</si>
  <si>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</si>
  <si>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</si>
  <si>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</si>
  <si>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</si>
  <si>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</si>
  <si>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</si>
  <si>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</si>
  <si>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</si>
  <si>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</si>
  <si>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</si>
  <si>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</si>
  <si>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</si>
  <si>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</si>
  <si>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</si>
  <si>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</si>
  <si>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</si>
  <si>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</si>
  <si>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</si>
  <si>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</si>
  <si>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</si>
  <si>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</si>
  <si>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</si>
  <si>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</si>
  <si>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</si>
  <si>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</si>
  <si>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</si>
  <si>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</si>
  <si>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</si>
  <si>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</si>
  <si>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</si>
  <si>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</si>
  <si>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</si>
  <si>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</si>
  <si>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</si>
  <si>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</si>
  <si>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</si>
  <si>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</si>
  <si>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</si>
  <si>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</si>
  <si>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</si>
  <si>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</si>
  <si>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</si>
  <si>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</si>
  <si>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</si>
  <si>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</si>
  <si>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</si>
  <si>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</si>
  <si>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</si>
  <si>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</si>
  <si>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</si>
  <si>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</si>
  <si>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</si>
  <si>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</si>
  <si>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</si>
  <si>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</si>
  <si>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</si>
  <si>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</si>
  <si>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</si>
  <si>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</si>
  <si>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</si>
  <si>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</si>
  <si>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</si>
  <si>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</si>
  <si>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</si>
  <si>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</si>
  <si>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</si>
  <si>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</si>
  <si>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</si>
  <si>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</si>
  <si>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</si>
  <si>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</si>
  <si>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</si>
  <si>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</si>
  <si>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</si>
  <si>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</si>
  <si>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</si>
  <si>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</si>
  <si>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</si>
  <si>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</si>
  <si>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</si>
  <si>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</si>
  <si>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</si>
  <si>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</si>
  <si>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</si>
  <si>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</si>
  <si>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</si>
  <si>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</si>
  <si>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</si>
  <si>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</si>
  <si>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</si>
  <si>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</si>
  <si>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</si>
  <si>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</si>
  <si>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</si>
  <si>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</si>
  <si>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</si>
  <si>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</si>
  <si>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</si>
  <si>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</si>
  <si>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</si>
  <si>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</si>
  <si>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</si>
  <si>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</si>
  <si>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</si>
  <si>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</si>
  <si>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</si>
  <si>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</si>
  <si>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</si>
  <si>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</si>
  <si>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</si>
  <si>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</si>
  <si>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</si>
  <si>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</si>
  <si>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</si>
  <si>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</si>
  <si>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</si>
  <si>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</si>
  <si>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</si>
  <si>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</si>
  <si>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</si>
  <si>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</si>
  <si>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</si>
  <si>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</si>
  <si>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</si>
  <si>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</si>
  <si>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</si>
  <si>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</si>
  <si>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</si>
  <si>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</si>
  <si>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</si>
  <si>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</si>
  <si>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</si>
  <si>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</si>
  <si>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</si>
  <si>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</si>
  <si>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</si>
  <si>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</si>
  <si>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</si>
  <si>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</si>
  <si>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</si>
  <si>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</si>
  <si>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</si>
  <si>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</si>
  <si>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</si>
  <si>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</si>
  <si>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</si>
  <si>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</si>
  <si>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</si>
  <si>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</si>
  <si>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</si>
  <si>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</si>
  <si>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</si>
  <si>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</si>
  <si>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</si>
  <si>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</si>
  <si>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</si>
  <si>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</si>
  <si>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</si>
  <si>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</si>
  <si>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</si>
  <si>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</si>
  <si>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</si>
  <si>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</si>
  <si>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</si>
  <si>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</si>
  <si>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</si>
  <si>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</si>
  <si>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</si>
  <si>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</si>
  <si>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</si>
  <si>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</si>
  <si>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</si>
  <si>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</si>
  <si>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</si>
  <si>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</si>
  <si>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</si>
  <si>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</si>
  <si>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</si>
  <si>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</si>
  <si>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</si>
  <si>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</si>
  <si>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</si>
  <si>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</si>
  <si>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</si>
  <si>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</si>
  <si>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</si>
  <si>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</si>
  <si>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</si>
  <si>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</si>
  <si>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</si>
  <si>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</si>
  <si>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</si>
  <si>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</si>
  <si>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</si>
  <si>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</si>
  <si>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</si>
  <si>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</si>
  <si>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</si>
  <si>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</si>
  <si>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</si>
  <si>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</si>
  <si>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</si>
  <si>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</si>
  <si>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</si>
  <si>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</si>
  <si>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</si>
  <si>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</si>
  <si>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</si>
  <si>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</si>
  <si>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</si>
  <si>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</si>
  <si>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</si>
  <si>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</si>
  <si>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</si>
  <si>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</si>
  <si>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</si>
  <si>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</si>
  <si>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</si>
  <si>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</si>
  <si>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</si>
  <si>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</si>
  <si>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</si>
  <si>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</si>
  <si>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</si>
  <si>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</si>
  <si>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</si>
  <si>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</si>
  <si>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</si>
  <si>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</si>
  <si>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</si>
  <si>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</si>
  <si>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</si>
  <si>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</si>
  <si>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</si>
  <si>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</si>
  <si>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</si>
  <si>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</si>
  <si>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</si>
  <si>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</si>
  <si>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</si>
  <si>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</si>
  <si>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</si>
  <si>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</si>
  <si>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</si>
  <si>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</si>
  <si>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</si>
  <si>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</si>
  <si>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</si>
  <si>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</si>
  <si>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</si>
  <si>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</si>
  <si>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</si>
  <si>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</si>
  <si>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</si>
  <si>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</si>
  <si>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</si>
  <si>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</si>
  <si>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</si>
  <si>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</si>
  <si>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</si>
  <si>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</si>
  <si>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</si>
  <si>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</si>
  <si>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</si>
  <si>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</si>
  <si>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</si>
  <si>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</si>
  <si>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</si>
  <si>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</si>
  <si>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</si>
  <si>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</si>
  <si>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</si>
  <si>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</si>
  <si>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</si>
  <si>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</si>
  <si>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</si>
  <si>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</si>
  <si>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</si>
  <si>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</si>
  <si>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</si>
  <si>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</si>
  <si>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</si>
  <si>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</si>
  <si>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</si>
  <si>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</si>
  <si>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</si>
  <si>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</si>
  <si>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</si>
  <si>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</si>
  <si>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</si>
  <si>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</si>
  <si>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</si>
  <si>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</si>
  <si>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</si>
  <si>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</si>
  <si>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</si>
  <si>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</si>
  <si>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</si>
  <si>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</si>
  <si>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</si>
  <si>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</si>
  <si>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</si>
  <si>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</si>
  <si>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</si>
  <si>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</si>
  <si>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</si>
  <si>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</si>
  <si>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</si>
  <si>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</si>
  <si>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</si>
  <si>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</si>
  <si>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</si>
  <si>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</si>
  <si>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</si>
  <si>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</si>
  <si>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</si>
  <si>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</si>
  <si>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</si>
  <si>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</si>
  <si>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</si>
  <si>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</si>
  <si>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</si>
  <si>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</si>
  <si>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</si>
  <si>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</si>
  <si>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</si>
  <si>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</si>
  <si>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</si>
  <si>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</si>
  <si>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</si>
  <si>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</si>
  <si>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</si>
  <si>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</si>
  <si>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</si>
  <si>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</si>
  <si>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</si>
  <si>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</si>
  <si>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</si>
  <si>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</si>
  <si>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</si>
  <si>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</si>
  <si>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</si>
  <si>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</si>
  <si>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</si>
  <si>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</si>
  <si>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</si>
  <si>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</si>
  <si>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</si>
  <si>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</si>
  <si>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</si>
  <si>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</si>
  <si>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</si>
  <si>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</si>
  <si>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</si>
  <si>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</si>
  <si>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</si>
  <si>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</si>
  <si>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</si>
  <si>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</si>
  <si>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</si>
  <si>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</si>
  <si>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</si>
  <si>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</si>
  <si>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</si>
  <si>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</si>
  <si>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</si>
  <si>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</si>
  <si>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</si>
  <si>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</si>
  <si>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</si>
  <si>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</si>
  <si>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</si>
  <si>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</si>
  <si>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</si>
  <si>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</si>
  <si>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</si>
  <si>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</si>
  <si>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</si>
  <si>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</si>
  <si>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</si>
  <si>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</si>
  <si>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</si>
  <si>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</si>
  <si>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</si>
  <si>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</si>
  <si>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</si>
  <si>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</si>
  <si>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</si>
  <si>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</si>
  <si>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</si>
  <si>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</si>
  <si>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</si>
  <si>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</si>
  <si>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</si>
  <si>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</si>
  <si>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</si>
  <si>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</si>
  <si>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</si>
  <si>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</si>
  <si>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</si>
  <si>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</si>
  <si>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</si>
  <si>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</si>
  <si>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</si>
  <si>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</si>
  <si>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</si>
  <si>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</si>
  <si>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</si>
  <si>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</si>
  <si>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</si>
  <si>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</si>
  <si>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</si>
  <si>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</si>
  <si>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</si>
  <si>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</si>
  <si>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</si>
  <si>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</si>
  <si>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</si>
  <si>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</si>
  <si>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</si>
  <si>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</si>
  <si>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</si>
  <si>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</si>
  <si>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</si>
  <si>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</si>
  <si>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</si>
  <si>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</si>
  <si>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</si>
  <si>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</si>
  <si>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</si>
  <si>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</si>
  <si>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</si>
  <si>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</si>
  <si>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</si>
  <si>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</si>
  <si>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</si>
  <si>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</si>
  <si>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</si>
  <si>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</si>
  <si>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</si>
  <si>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</si>
  <si>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</si>
  <si>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</si>
  <si>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</si>
  <si>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</si>
  <si>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</si>
  <si>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</si>
  <si>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</si>
  <si>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</si>
  <si>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地块名称</t>
  </si>
  <si>
    <t>城市</t>
  </si>
  <si>
    <t>用地性质</t>
  </si>
  <si>
    <t>区县</t>
  </si>
  <si>
    <t>土地位置</t>
  </si>
  <si>
    <t>出让方式</t>
  </si>
  <si>
    <t>建设用地面积(㎡)</t>
  </si>
  <si>
    <t>规划建筑面积(㎡)</t>
  </si>
  <si>
    <t>容积率</t>
  </si>
  <si>
    <t>成交日期</t>
  </si>
  <si>
    <t>受让单位</t>
  </si>
  <si>
    <t>成交价(万元)</t>
  </si>
  <si>
    <t>成交楼面价(元/㎡)</t>
  </si>
  <si>
    <t>溢价率</t>
  </si>
  <si>
    <t>出让年限</t>
  </si>
  <si>
    <t>草庙镇临海高等级公路东侧地块</t>
  </si>
  <si>
    <t>盐城市</t>
  </si>
  <si>
    <t>商业/办公用地</t>
  </si>
  <si>
    <t>大丰市</t>
  </si>
  <si>
    <t>挂牌</t>
  </si>
  <si>
    <t>≤0.5</t>
  </si>
  <si>
    <t>2018-05-25</t>
  </si>
  <si>
    <t>江苏川鹿农业开发有限公司</t>
  </si>
  <si>
    <t>40年</t>
  </si>
  <si>
    <t>城东菜场地块</t>
  </si>
  <si>
    <t>≥1,≤1.6</t>
  </si>
  <si>
    <t>2018-05-23</t>
  </si>
  <si>
    <t>盐城市大丰区兴城投资发展有限公司</t>
  </si>
  <si>
    <t>荷花岛项目地块</t>
  </si>
  <si>
    <t>≤1.2</t>
  </si>
  <si>
    <t>江苏裕丰旅游开发有限公司</t>
  </si>
  <si>
    <t>五一公园东侧地块</t>
  </si>
  <si>
    <t>＞1,≤2.2</t>
  </si>
  <si>
    <t>盐城市大丰区高鑫投资有限责任公司</t>
  </si>
  <si>
    <t>三龙镇二号地块</t>
  </si>
  <si>
    <t>≤2</t>
  </si>
  <si>
    <t>2018-03-07</t>
  </si>
  <si>
    <t>江苏盐阜家庭农场有限公司</t>
  </si>
  <si>
    <t>自来水公司商业出让地块</t>
  </si>
  <si>
    <t>≤2.5</t>
  </si>
  <si>
    <t>盐城大丰自来水有限公司</t>
  </si>
  <si>
    <t>大中镇恒北村恒北大道南侧、东宁路西侧地块</t>
  </si>
  <si>
    <t>盐城大丰原乡星星乐园生态农业开发有限公司</t>
  </si>
  <si>
    <t>新丰镇庆丰路西阿姆斯特丹南侧地块</t>
  </si>
  <si>
    <t>≥1,≤2</t>
  </si>
  <si>
    <t>熙辉富业置地江苏有限公司</t>
  </si>
  <si>
    <t>康平路西南环路南地块</t>
  </si>
  <si>
    <t>2018-01-24</t>
  </si>
  <si>
    <t>盐城市大丰远坤科技有限公司</t>
  </si>
  <si>
    <t>海洋科教城二十一号地块</t>
  </si>
  <si>
    <t>武汉恩卡普汽车检测技术有限公司</t>
  </si>
  <si>
    <t>海港新城启动区七十九号地块</t>
  </si>
  <si>
    <t>2017-11-08</t>
  </si>
  <si>
    <t>盐城中理外轮理货有限公司</t>
  </si>
  <si>
    <t>大丰经济开发区人工湖南侧地块</t>
  </si>
  <si>
    <t>≤1.1</t>
  </si>
  <si>
    <t>2017-10-20</t>
  </si>
  <si>
    <t>江苏权健置业有限公司</t>
  </si>
  <si>
    <t>高新区五一公园1号地块</t>
  </si>
  <si>
    <t>≤3.5</t>
  </si>
  <si>
    <t>盐城国瑞置业有限公司</t>
  </si>
  <si>
    <t>麋鹿风情小镇一期地块</t>
  </si>
  <si>
    <t>≤0.9</t>
  </si>
  <si>
    <t>盐城市国丰置业有限公司</t>
  </si>
  <si>
    <t>沪苏大丰产业联动集聚区产业服务中心地块</t>
  </si>
  <si>
    <t>2017-10-18</t>
  </si>
  <si>
    <t>沪苏大丰产业联动集聚区开发建设有限公司</t>
  </si>
  <si>
    <t>王港闸商业地块</t>
  </si>
  <si>
    <t>等于2.5</t>
  </si>
  <si>
    <t>大丰区万豪大酒店</t>
  </si>
  <si>
    <t>大丰经济开发区沈海高速东侧、南翔路北侧地块</t>
  </si>
  <si>
    <t>≥1,≤1.5</t>
  </si>
  <si>
    <t>2017-09-06</t>
  </si>
  <si>
    <t>江苏百仕兴房地产开发有限公司</t>
  </si>
  <si>
    <t>丰收大地农业示范园区5号地块</t>
  </si>
  <si>
    <t>2017-08-11</t>
  </si>
  <si>
    <t>江苏永建置业有限公司</t>
  </si>
  <si>
    <t>新丰镇纬五支路南侧、经三路西侧地块</t>
  </si>
  <si>
    <t>2017-07-26</t>
  </si>
  <si>
    <t>盐城市大丰区裕丰城镇建设发展有限公司</t>
  </si>
  <si>
    <t>新丰镇安龙村斗龙港西侧地块</t>
  </si>
  <si>
    <t>≤1.5</t>
  </si>
  <si>
    <t>盐城市大丰区斗龙港生态农业有限公司</t>
  </si>
  <si>
    <t>新丰镇新区大道北侧、经三路西侧地块</t>
  </si>
  <si>
    <t>新丰镇纬五支路南侧、经三路东侧地块</t>
  </si>
  <si>
    <t>刘庄镇原镇中心小学地块</t>
  </si>
  <si>
    <t>2017-05-08</t>
  </si>
  <si>
    <t>盐城市大丰润聚商贸有限公司</t>
  </si>
  <si>
    <t>大中镇恒北村春柳路西侧、恒北大道北侧地块</t>
  </si>
  <si>
    <t>2017-03-07</t>
  </si>
  <si>
    <t>江苏原乡温泉旅游度假村有限公司</t>
  </si>
  <si>
    <t>西郊梅园水上乐园二期地块</t>
  </si>
  <si>
    <t>≤1</t>
  </si>
  <si>
    <t>盐城市大丰区华丰旅游实业发展有限公司</t>
  </si>
  <si>
    <t>开发区南翔大道南侧、申丰路西侧地块</t>
  </si>
  <si>
    <t>大丰新韩酒店有限公司</t>
  </si>
  <si>
    <t>西团镇三号路西侧、新建路北侧地块</t>
  </si>
  <si>
    <t>≤1.3</t>
  </si>
  <si>
    <t>2017-01-21</t>
  </si>
  <si>
    <t>江苏五鼎新材料科技有限公司</t>
  </si>
  <si>
    <t>高新区五一路东侧、新北路南侧地块</t>
  </si>
  <si>
    <t>≥1且≤2</t>
  </si>
  <si>
    <t>2016-12-28</t>
  </si>
  <si>
    <t>江苏云彩置业有限公司</t>
  </si>
  <si>
    <t>高新区创业园10地块</t>
  </si>
  <si>
    <t>≥1且≤4.8</t>
  </si>
  <si>
    <t>新丰镇四清路东侧、原方强蚕桑站地块</t>
  </si>
  <si>
    <t>2016-12-23</t>
  </si>
  <si>
    <t>陈建军</t>
  </si>
  <si>
    <t>港区海洋科教城二十三号地块</t>
  </si>
  <si>
    <t>＞1且≤4</t>
  </si>
  <si>
    <t>2016-10-26</t>
  </si>
  <si>
    <t>江苏大丰海港控股集团有限公司</t>
  </si>
  <si>
    <t>港区海洋科教城二十二号地块</t>
  </si>
  <si>
    <t>港区海洋科教城二十一号地块</t>
  </si>
  <si>
    <t>2016-10-19</t>
  </si>
  <si>
    <t>江苏大丰海港控股集体有限公司</t>
  </si>
  <si>
    <t>港区海洋科教城二十号地块</t>
  </si>
  <si>
    <t>草堰镇疆界河南侧、三元村部西北侧地块</t>
  </si>
  <si>
    <t>2016-09-26</t>
  </si>
  <si>
    <t>江苏宏鑫路桥建设有限公司</t>
  </si>
  <si>
    <t>草堰镇三元中心路西侧、疆界河南侧地块</t>
  </si>
  <si>
    <t>荷兰花海老斗龙港西侧地块</t>
  </si>
  <si>
    <t>2016-09-22</t>
  </si>
  <si>
    <t>江苏权健科技发展有限公司</t>
  </si>
  <si>
    <t>新丰镇同丰中心路东侧、纬三路南侧地块</t>
  </si>
  <si>
    <t>大桥镇幸福路东侧、大港路北侧地块</t>
  </si>
  <si>
    <t>2016-08-25</t>
  </si>
  <si>
    <t>国网江苏省电力公司盐城市大丰区供电公司</t>
  </si>
  <si>
    <t>草庙镇东灶村麋鹿公路北侧地块</t>
  </si>
  <si>
    <t>2016-07-13</t>
  </si>
  <si>
    <t>盐城市大丰区姜尚旅游发展有限公司</t>
  </si>
  <si>
    <t>高新区裕丰路东侧、幸福路景观带北侧地块</t>
  </si>
  <si>
    <t>江苏高欣置业有限公司</t>
  </si>
  <si>
    <t>大中镇恒北村四组、东宁路东侧地块</t>
  </si>
  <si>
    <t>大丰市麋鹿早酥梨专业合作社</t>
  </si>
  <si>
    <t>西郊生态公园游客服务中心地块</t>
  </si>
  <si>
    <t>大桥镇人民路南侧地块</t>
  </si>
  <si>
    <t>卞正荣</t>
  </si>
  <si>
    <t>大桥镇幸福路东侧地块</t>
  </si>
  <si>
    <t>江苏盐丰现代农业发展有限公司</t>
  </si>
  <si>
    <t>大中镇沈方路东侧、大北线南侧地块</t>
  </si>
  <si>
    <t>2016-06-25</t>
  </si>
  <si>
    <t>盐城市大丰大中农村集体资产经营管理有限公司</t>
  </si>
  <si>
    <t>大丰高新区健康路6号地块</t>
  </si>
  <si>
    <t>大于1并且小于或等于1.6</t>
  </si>
  <si>
    <t>2016-04-29</t>
  </si>
  <si>
    <t>盐城市大丰碧桂园房地产开发有限公司</t>
  </si>
  <si>
    <t>70年</t>
  </si>
  <si>
    <t>集聚区常新北路东侧地块</t>
  </si>
  <si>
    <t>2016-03-18</t>
  </si>
  <si>
    <t>大丰市振东投资有限公司</t>
  </si>
  <si>
    <t>新丰河南侧、庆丰路东侧地块</t>
  </si>
  <si>
    <t>≥1,≤1.8</t>
  </si>
  <si>
    <t>2016-03-03</t>
  </si>
  <si>
    <t>盐城市大丰区丰盈置业有限公司</t>
  </si>
  <si>
    <t>建邺南路东侧中段地块</t>
  </si>
  <si>
    <t>2016-02-25</t>
  </si>
  <si>
    <t>王菲菲</t>
  </si>
  <si>
    <t>城东新区博物馆地块</t>
  </si>
  <si>
    <t>≤0.7</t>
  </si>
  <si>
    <t>2016-02-05</t>
  </si>
  <si>
    <t>大丰市兴城投资开发有限公司</t>
  </si>
  <si>
    <t>城东新区图书馆地块</t>
  </si>
  <si>
    <t>≤0.8</t>
  </si>
  <si>
    <t>苏港加油站地块</t>
  </si>
  <si>
    <t>2016-02-04</t>
  </si>
  <si>
    <t>大丰市大中镇农林牧渔业技术服务中心镇北农机站苏港加油站</t>
  </si>
  <si>
    <t>海洋科教城十九号地块</t>
  </si>
  <si>
    <t>≥1.5,≤2</t>
  </si>
  <si>
    <t>2015-11-27</t>
  </si>
  <si>
    <t>盐城市大丰区海城实业发展有限公司</t>
  </si>
  <si>
    <t>淮海路北侧、同丰十五号路东侧地块</t>
  </si>
  <si>
    <t>≥1,≤1.2</t>
  </si>
  <si>
    <t>2015-11-07</t>
  </si>
  <si>
    <t>大丰市裕丰城镇建设发展有限公司</t>
  </si>
  <si>
    <t>常新路西侧、淮海路北侧地块</t>
  </si>
  <si>
    <t>江苏远恒置业发展有限公司</t>
  </si>
  <si>
    <t>地面积</t>
    <phoneticPr fontId="143" type="noConversion"/>
  </si>
  <si>
    <t>草庙镇临海高等级公路东侧地块</t>
    <phoneticPr fontId="143" type="noConversion"/>
  </si>
  <si>
    <t>出让</t>
  </si>
  <si>
    <t>其他：</t>
  </si>
  <si>
    <t>企业</t>
  </si>
  <si>
    <t>地上</t>
  </si>
  <si>
    <t>是</t>
  </si>
  <si>
    <t>较好</t>
  </si>
  <si>
    <t>正常</t>
  </si>
  <si>
    <t>商业</t>
    <phoneticPr fontId="31" type="noConversion"/>
  </si>
  <si>
    <t>一般</t>
  </si>
  <si>
    <t>较差</t>
  </si>
  <si>
    <t>单位面积地价</t>
  </si>
  <si>
    <t>六通</t>
  </si>
  <si>
    <t>三通</t>
  </si>
  <si>
    <t>荷花岛项目地块</t>
    <phoneticPr fontId="143" type="noConversion"/>
  </si>
  <si>
    <t>建邺南路东侧中段地块</t>
    <phoneticPr fontId="143" type="noConversion"/>
  </si>
  <si>
    <t>未包含在土地购买价格中</t>
  </si>
  <si>
    <t>部分缴纳</t>
  </si>
  <si>
    <t>成本法</t>
  </si>
  <si>
    <t>押二</t>
  </si>
  <si>
    <t>收益法</t>
  </si>
  <si>
    <t>钢混</t>
  </si>
  <si>
    <t>非生产用房</t>
  </si>
  <si>
    <t>否</t>
  </si>
  <si>
    <t>核定资产</t>
  </si>
  <si>
    <t>房地产市场价值</t>
  </si>
  <si>
    <t>成新度</t>
  </si>
  <si>
    <t>其他省市系数</t>
  </si>
  <si>
    <t>已包含在土地取得成本中</t>
  </si>
  <si>
    <t>现房</t>
  </si>
  <si>
    <t>不受限</t>
    <phoneticPr fontId="3" type="noConversion"/>
  </si>
  <si>
    <t>受限</t>
    <phoneticPr fontId="3" type="noConversion"/>
  </si>
  <si>
    <t>建筑物转让受限</t>
    <phoneticPr fontId="3" type="noConversion"/>
  </si>
  <si>
    <t>不受限</t>
    <phoneticPr fontId="3" type="noConversion"/>
  </si>
  <si>
    <t>主干道</t>
    <phoneticPr fontId="3" type="noConversion"/>
  </si>
  <si>
    <t>次干道</t>
    <phoneticPr fontId="3" type="noConversion"/>
  </si>
  <si>
    <t>支路</t>
    <phoneticPr fontId="3" type="noConversion"/>
  </si>
  <si>
    <t>支路</t>
  </si>
  <si>
    <t>次干道</t>
  </si>
  <si>
    <t>受限</t>
    <phoneticPr fontId="3" type="noConversion"/>
  </si>
  <si>
    <t>五通一平</t>
  </si>
  <si>
    <t>五通一平</t>
    <phoneticPr fontId="31" type="noConversion"/>
  </si>
  <si>
    <t>三通一平</t>
  </si>
  <si>
    <t>三通一平</t>
    <phoneticPr fontId="31" type="noConversion"/>
  </si>
  <si>
    <t>总价</t>
  </si>
  <si>
    <t>自定义</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</si>
</sst>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20" fillId="0" borderId="0" xfId="0" applyFont="1" applyAlignment="1"/>
    <xf numFmtId="0" fontId="0" fillId="0" borderId="0" xfId="0" applyFont="1" applyAlignment="1"/>
    <xf numFmtId="0" fontId="101" fillId="0" borderId="0" xfId="0" applyFont="1" applyAlignment="1"/>
    <xf numFmtId="0" fontId="0" fillId="5" borderId="0" xfId="0" applyFill="1" applyAlignment="1"/>
    <xf numFmtId="0" fontId="101" fillId="5" borderId="0" xfId="0" applyFont="1" applyFill="1" applyAlignment="1"/>
    <xf numFmtId="0" fontId="101" fillId="0"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138" fillId="5" borderId="0" xfId="0" applyFont="1" applyFill="1" applyAlignment="1"/>
    <xf numFmtId="0" fontId="120" fillId="5" borderId="0" xfId="0" applyFont="1" applyFill="1" applyAlignment="1"/>
    <xf numFmtId="0" fontId="98" fillId="0" borderId="23"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56" xfId="0" applyFont="1" applyBorder="1" applyAlignment="1">
      <alignment vertical="center" wrapText="1"/>
    </xf>
    <xf numFmtId="0" fontId="254" fillId="0" borderId="157" xfId="0" applyFont="1" applyBorder="1" applyAlignment="1">
      <alignment vertical="center" wrapText="1"/>
    </xf>
    <xf numFmtId="0" fontId="254" fillId="0" borderId="158" xfId="0" applyFont="1" applyBorder="1" applyAlignment="1">
      <alignment vertical="center" wrapText="1"/>
    </xf>
    <xf numFmtId="0" fontId="254" fillId="0" borderId="159" xfId="0" applyFont="1" applyBorder="1" applyAlignment="1">
      <alignment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338;&#29289;&#393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338;&#29289;&#39302;&#19968;&#234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2)"/>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Sheet1"/>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7983.8</v>
          </cell>
          <cell r="C14">
            <v>13773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2)"/>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Sheet1"/>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5415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P57"/>
  <sheetViews>
    <sheetView topLeftCell="F31" workbookViewId="0">
      <selection activeCell="K16" sqref="K16"/>
    </sheetView>
  </sheetViews>
  <sheetFormatPr defaultRowHeight="13.5"/>
  <cols>
    <col min="1" max="1" width="36" style="1637" customWidth="1"/>
    <col min="2" max="2" width="6.25" style="1637" customWidth="1"/>
    <col min="3" max="3" width="11.75" style="1637" customWidth="1"/>
    <col min="4" max="4" width="6.25" style="1637" customWidth="1"/>
    <col min="5" max="5" width="36" style="1637" customWidth="1"/>
    <col min="6" max="6" width="7.875" style="1637" customWidth="1"/>
    <col min="7" max="8" width="13.875" style="1637" customWidth="1"/>
    <col min="9" max="9" width="24.125" style="1637" customWidth="1"/>
    <col min="10" max="10" width="9" style="1637" customWidth="1"/>
    <col min="11" max="11" width="36" style="1637" customWidth="1"/>
    <col min="12" max="12" width="10.625" style="1637" customWidth="1"/>
    <col min="13" max="14" width="14.375" style="1637" customWidth="1"/>
    <col min="15" max="15" width="6.25" style="1637" customWidth="1"/>
    <col min="16" max="16" width="7.875" style="1637" customWidth="1"/>
    <col min="17" max="256" width="9" style="1637"/>
    <col min="257" max="257" width="36" style="1637" customWidth="1"/>
    <col min="258" max="258" width="6.25" style="1637" customWidth="1"/>
    <col min="259" max="259" width="11.75" style="1637" customWidth="1"/>
    <col min="260" max="260" width="6.25" style="1637" customWidth="1"/>
    <col min="261" max="261" width="36" style="1637" customWidth="1"/>
    <col min="262" max="262" width="7.875" style="1637" customWidth="1"/>
    <col min="263" max="264" width="13.875" style="1637" customWidth="1"/>
    <col min="265" max="265" width="19.125" style="1637" customWidth="1"/>
    <col min="266" max="266" width="9" style="1637" customWidth="1"/>
    <col min="267" max="267" width="36" style="1637" customWidth="1"/>
    <col min="268" max="268" width="10.625" style="1637" customWidth="1"/>
    <col min="269" max="270" width="14.375" style="1637" customWidth="1"/>
    <col min="271" max="271" width="6.25" style="1637" customWidth="1"/>
    <col min="272" max="272" width="7.875" style="1637" customWidth="1"/>
    <col min="273" max="512" width="9" style="1637"/>
    <col min="513" max="513" width="36" style="1637" customWidth="1"/>
    <col min="514" max="514" width="6.25" style="1637" customWidth="1"/>
    <col min="515" max="515" width="11.75" style="1637" customWidth="1"/>
    <col min="516" max="516" width="6.25" style="1637" customWidth="1"/>
    <col min="517" max="517" width="36" style="1637" customWidth="1"/>
    <col min="518" max="518" width="7.875" style="1637" customWidth="1"/>
    <col min="519" max="520" width="13.875" style="1637" customWidth="1"/>
    <col min="521" max="521" width="19.125" style="1637" customWidth="1"/>
    <col min="522" max="522" width="9" style="1637" customWidth="1"/>
    <col min="523" max="523" width="36" style="1637" customWidth="1"/>
    <col min="524" max="524" width="10.625" style="1637" customWidth="1"/>
    <col min="525" max="526" width="14.375" style="1637" customWidth="1"/>
    <col min="527" max="527" width="6.25" style="1637" customWidth="1"/>
    <col min="528" max="528" width="7.875" style="1637" customWidth="1"/>
    <col min="529" max="768" width="9" style="1637"/>
    <col min="769" max="769" width="36" style="1637" customWidth="1"/>
    <col min="770" max="770" width="6.25" style="1637" customWidth="1"/>
    <col min="771" max="771" width="11.75" style="1637" customWidth="1"/>
    <col min="772" max="772" width="6.25" style="1637" customWidth="1"/>
    <col min="773" max="773" width="36" style="1637" customWidth="1"/>
    <col min="774" max="774" width="7.875" style="1637" customWidth="1"/>
    <col min="775" max="776" width="13.875" style="1637" customWidth="1"/>
    <col min="777" max="777" width="19.125" style="1637" customWidth="1"/>
    <col min="778" max="778" width="9" style="1637" customWidth="1"/>
    <col min="779" max="779" width="36" style="1637" customWidth="1"/>
    <col min="780" max="780" width="10.625" style="1637" customWidth="1"/>
    <col min="781" max="782" width="14.375" style="1637" customWidth="1"/>
    <col min="783" max="783" width="6.25" style="1637" customWidth="1"/>
    <col min="784" max="784" width="7.875" style="1637" customWidth="1"/>
    <col min="785" max="1024" width="9" style="1637"/>
    <col min="1025" max="1025" width="36" style="1637" customWidth="1"/>
    <col min="1026" max="1026" width="6.25" style="1637" customWidth="1"/>
    <col min="1027" max="1027" width="11.75" style="1637" customWidth="1"/>
    <col min="1028" max="1028" width="6.25" style="1637" customWidth="1"/>
    <col min="1029" max="1029" width="36" style="1637" customWidth="1"/>
    <col min="1030" max="1030" width="7.875" style="1637" customWidth="1"/>
    <col min="1031" max="1032" width="13.875" style="1637" customWidth="1"/>
    <col min="1033" max="1033" width="19.125" style="1637" customWidth="1"/>
    <col min="1034" max="1034" width="9" style="1637" customWidth="1"/>
    <col min="1035" max="1035" width="36" style="1637" customWidth="1"/>
    <col min="1036" max="1036" width="10.625" style="1637" customWidth="1"/>
    <col min="1037" max="1038" width="14.375" style="1637" customWidth="1"/>
    <col min="1039" max="1039" width="6.25" style="1637" customWidth="1"/>
    <col min="1040" max="1040" width="7.875" style="1637" customWidth="1"/>
    <col min="1041" max="1280" width="9" style="1637"/>
    <col min="1281" max="1281" width="36" style="1637" customWidth="1"/>
    <col min="1282" max="1282" width="6.25" style="1637" customWidth="1"/>
    <col min="1283" max="1283" width="11.75" style="1637" customWidth="1"/>
    <col min="1284" max="1284" width="6.25" style="1637" customWidth="1"/>
    <col min="1285" max="1285" width="36" style="1637" customWidth="1"/>
    <col min="1286" max="1286" width="7.875" style="1637" customWidth="1"/>
    <col min="1287" max="1288" width="13.875" style="1637" customWidth="1"/>
    <col min="1289" max="1289" width="19.125" style="1637" customWidth="1"/>
    <col min="1290" max="1290" width="9" style="1637" customWidth="1"/>
    <col min="1291" max="1291" width="36" style="1637" customWidth="1"/>
    <col min="1292" max="1292" width="10.625" style="1637" customWidth="1"/>
    <col min="1293" max="1294" width="14.375" style="1637" customWidth="1"/>
    <col min="1295" max="1295" width="6.25" style="1637" customWidth="1"/>
    <col min="1296" max="1296" width="7.875" style="1637" customWidth="1"/>
    <col min="1297" max="1536" width="9" style="1637"/>
    <col min="1537" max="1537" width="36" style="1637" customWidth="1"/>
    <col min="1538" max="1538" width="6.25" style="1637" customWidth="1"/>
    <col min="1539" max="1539" width="11.75" style="1637" customWidth="1"/>
    <col min="1540" max="1540" width="6.25" style="1637" customWidth="1"/>
    <col min="1541" max="1541" width="36" style="1637" customWidth="1"/>
    <col min="1542" max="1542" width="7.875" style="1637" customWidth="1"/>
    <col min="1543" max="1544" width="13.875" style="1637" customWidth="1"/>
    <col min="1545" max="1545" width="19.125" style="1637" customWidth="1"/>
    <col min="1546" max="1546" width="9" style="1637" customWidth="1"/>
    <col min="1547" max="1547" width="36" style="1637" customWidth="1"/>
    <col min="1548" max="1548" width="10.625" style="1637" customWidth="1"/>
    <col min="1549" max="1550" width="14.375" style="1637" customWidth="1"/>
    <col min="1551" max="1551" width="6.25" style="1637" customWidth="1"/>
    <col min="1552" max="1552" width="7.875" style="1637" customWidth="1"/>
    <col min="1553" max="1792" width="9" style="1637"/>
    <col min="1793" max="1793" width="36" style="1637" customWidth="1"/>
    <col min="1794" max="1794" width="6.25" style="1637" customWidth="1"/>
    <col min="1795" max="1795" width="11.75" style="1637" customWidth="1"/>
    <col min="1796" max="1796" width="6.25" style="1637" customWidth="1"/>
    <col min="1797" max="1797" width="36" style="1637" customWidth="1"/>
    <col min="1798" max="1798" width="7.875" style="1637" customWidth="1"/>
    <col min="1799" max="1800" width="13.875" style="1637" customWidth="1"/>
    <col min="1801" max="1801" width="19.125" style="1637" customWidth="1"/>
    <col min="1802" max="1802" width="9" style="1637" customWidth="1"/>
    <col min="1803" max="1803" width="36" style="1637" customWidth="1"/>
    <col min="1804" max="1804" width="10.625" style="1637" customWidth="1"/>
    <col min="1805" max="1806" width="14.375" style="1637" customWidth="1"/>
    <col min="1807" max="1807" width="6.25" style="1637" customWidth="1"/>
    <col min="1808" max="1808" width="7.875" style="1637" customWidth="1"/>
    <col min="1809" max="2048" width="9" style="1637"/>
    <col min="2049" max="2049" width="36" style="1637" customWidth="1"/>
    <col min="2050" max="2050" width="6.25" style="1637" customWidth="1"/>
    <col min="2051" max="2051" width="11.75" style="1637" customWidth="1"/>
    <col min="2052" max="2052" width="6.25" style="1637" customWidth="1"/>
    <col min="2053" max="2053" width="36" style="1637" customWidth="1"/>
    <col min="2054" max="2054" width="7.875" style="1637" customWidth="1"/>
    <col min="2055" max="2056" width="13.875" style="1637" customWidth="1"/>
    <col min="2057" max="2057" width="19.125" style="1637" customWidth="1"/>
    <col min="2058" max="2058" width="9" style="1637" customWidth="1"/>
    <col min="2059" max="2059" width="36" style="1637" customWidth="1"/>
    <col min="2060" max="2060" width="10.625" style="1637" customWidth="1"/>
    <col min="2061" max="2062" width="14.375" style="1637" customWidth="1"/>
    <col min="2063" max="2063" width="6.25" style="1637" customWidth="1"/>
    <col min="2064" max="2064" width="7.875" style="1637" customWidth="1"/>
    <col min="2065" max="2304" width="9" style="1637"/>
    <col min="2305" max="2305" width="36" style="1637" customWidth="1"/>
    <col min="2306" max="2306" width="6.25" style="1637" customWidth="1"/>
    <col min="2307" max="2307" width="11.75" style="1637" customWidth="1"/>
    <col min="2308" max="2308" width="6.25" style="1637" customWidth="1"/>
    <col min="2309" max="2309" width="36" style="1637" customWidth="1"/>
    <col min="2310" max="2310" width="7.875" style="1637" customWidth="1"/>
    <col min="2311" max="2312" width="13.875" style="1637" customWidth="1"/>
    <col min="2313" max="2313" width="19.125" style="1637" customWidth="1"/>
    <col min="2314" max="2314" width="9" style="1637" customWidth="1"/>
    <col min="2315" max="2315" width="36" style="1637" customWidth="1"/>
    <col min="2316" max="2316" width="10.625" style="1637" customWidth="1"/>
    <col min="2317" max="2318" width="14.375" style="1637" customWidth="1"/>
    <col min="2319" max="2319" width="6.25" style="1637" customWidth="1"/>
    <col min="2320" max="2320" width="7.875" style="1637" customWidth="1"/>
    <col min="2321" max="2560" width="9" style="1637"/>
    <col min="2561" max="2561" width="36" style="1637" customWidth="1"/>
    <col min="2562" max="2562" width="6.25" style="1637" customWidth="1"/>
    <col min="2563" max="2563" width="11.75" style="1637" customWidth="1"/>
    <col min="2564" max="2564" width="6.25" style="1637" customWidth="1"/>
    <col min="2565" max="2565" width="36" style="1637" customWidth="1"/>
    <col min="2566" max="2566" width="7.875" style="1637" customWidth="1"/>
    <col min="2567" max="2568" width="13.875" style="1637" customWidth="1"/>
    <col min="2569" max="2569" width="19.125" style="1637" customWidth="1"/>
    <col min="2570" max="2570" width="9" style="1637" customWidth="1"/>
    <col min="2571" max="2571" width="36" style="1637" customWidth="1"/>
    <col min="2572" max="2572" width="10.625" style="1637" customWidth="1"/>
    <col min="2573" max="2574" width="14.375" style="1637" customWidth="1"/>
    <col min="2575" max="2575" width="6.25" style="1637" customWidth="1"/>
    <col min="2576" max="2576" width="7.875" style="1637" customWidth="1"/>
    <col min="2577" max="2816" width="9" style="1637"/>
    <col min="2817" max="2817" width="36" style="1637" customWidth="1"/>
    <col min="2818" max="2818" width="6.25" style="1637" customWidth="1"/>
    <col min="2819" max="2819" width="11.75" style="1637" customWidth="1"/>
    <col min="2820" max="2820" width="6.25" style="1637" customWidth="1"/>
    <col min="2821" max="2821" width="36" style="1637" customWidth="1"/>
    <col min="2822" max="2822" width="7.875" style="1637" customWidth="1"/>
    <col min="2823" max="2824" width="13.875" style="1637" customWidth="1"/>
    <col min="2825" max="2825" width="19.125" style="1637" customWidth="1"/>
    <col min="2826" max="2826" width="9" style="1637" customWidth="1"/>
    <col min="2827" max="2827" width="36" style="1637" customWidth="1"/>
    <col min="2828" max="2828" width="10.625" style="1637" customWidth="1"/>
    <col min="2829" max="2830" width="14.375" style="1637" customWidth="1"/>
    <col min="2831" max="2831" width="6.25" style="1637" customWidth="1"/>
    <col min="2832" max="2832" width="7.875" style="1637" customWidth="1"/>
    <col min="2833" max="3072" width="9" style="1637"/>
    <col min="3073" max="3073" width="36" style="1637" customWidth="1"/>
    <col min="3074" max="3074" width="6.25" style="1637" customWidth="1"/>
    <col min="3075" max="3075" width="11.75" style="1637" customWidth="1"/>
    <col min="3076" max="3076" width="6.25" style="1637" customWidth="1"/>
    <col min="3077" max="3077" width="36" style="1637" customWidth="1"/>
    <col min="3078" max="3078" width="7.875" style="1637" customWidth="1"/>
    <col min="3079" max="3080" width="13.875" style="1637" customWidth="1"/>
    <col min="3081" max="3081" width="19.125" style="1637" customWidth="1"/>
    <col min="3082" max="3082" width="9" style="1637" customWidth="1"/>
    <col min="3083" max="3083" width="36" style="1637" customWidth="1"/>
    <col min="3084" max="3084" width="10.625" style="1637" customWidth="1"/>
    <col min="3085" max="3086" width="14.375" style="1637" customWidth="1"/>
    <col min="3087" max="3087" width="6.25" style="1637" customWidth="1"/>
    <col min="3088" max="3088" width="7.875" style="1637" customWidth="1"/>
    <col min="3089" max="3328" width="9" style="1637"/>
    <col min="3329" max="3329" width="36" style="1637" customWidth="1"/>
    <col min="3330" max="3330" width="6.25" style="1637" customWidth="1"/>
    <col min="3331" max="3331" width="11.75" style="1637" customWidth="1"/>
    <col min="3332" max="3332" width="6.25" style="1637" customWidth="1"/>
    <col min="3333" max="3333" width="36" style="1637" customWidth="1"/>
    <col min="3334" max="3334" width="7.875" style="1637" customWidth="1"/>
    <col min="3335" max="3336" width="13.875" style="1637" customWidth="1"/>
    <col min="3337" max="3337" width="19.125" style="1637" customWidth="1"/>
    <col min="3338" max="3338" width="9" style="1637" customWidth="1"/>
    <col min="3339" max="3339" width="36" style="1637" customWidth="1"/>
    <col min="3340" max="3340" width="10.625" style="1637" customWidth="1"/>
    <col min="3341" max="3342" width="14.375" style="1637" customWidth="1"/>
    <col min="3343" max="3343" width="6.25" style="1637" customWidth="1"/>
    <col min="3344" max="3344" width="7.875" style="1637" customWidth="1"/>
    <col min="3345" max="3584" width="9" style="1637"/>
    <col min="3585" max="3585" width="36" style="1637" customWidth="1"/>
    <col min="3586" max="3586" width="6.25" style="1637" customWidth="1"/>
    <col min="3587" max="3587" width="11.75" style="1637" customWidth="1"/>
    <col min="3588" max="3588" width="6.25" style="1637" customWidth="1"/>
    <col min="3589" max="3589" width="36" style="1637" customWidth="1"/>
    <col min="3590" max="3590" width="7.875" style="1637" customWidth="1"/>
    <col min="3591" max="3592" width="13.875" style="1637" customWidth="1"/>
    <col min="3593" max="3593" width="19.125" style="1637" customWidth="1"/>
    <col min="3594" max="3594" width="9" style="1637" customWidth="1"/>
    <col min="3595" max="3595" width="36" style="1637" customWidth="1"/>
    <col min="3596" max="3596" width="10.625" style="1637" customWidth="1"/>
    <col min="3597" max="3598" width="14.375" style="1637" customWidth="1"/>
    <col min="3599" max="3599" width="6.25" style="1637" customWidth="1"/>
    <col min="3600" max="3600" width="7.875" style="1637" customWidth="1"/>
    <col min="3601" max="3840" width="9" style="1637"/>
    <col min="3841" max="3841" width="36" style="1637" customWidth="1"/>
    <col min="3842" max="3842" width="6.25" style="1637" customWidth="1"/>
    <col min="3843" max="3843" width="11.75" style="1637" customWidth="1"/>
    <col min="3844" max="3844" width="6.25" style="1637" customWidth="1"/>
    <col min="3845" max="3845" width="36" style="1637" customWidth="1"/>
    <col min="3846" max="3846" width="7.875" style="1637" customWidth="1"/>
    <col min="3847" max="3848" width="13.875" style="1637" customWidth="1"/>
    <col min="3849" max="3849" width="19.125" style="1637" customWidth="1"/>
    <col min="3850" max="3850" width="9" style="1637" customWidth="1"/>
    <col min="3851" max="3851" width="36" style="1637" customWidth="1"/>
    <col min="3852" max="3852" width="10.625" style="1637" customWidth="1"/>
    <col min="3853" max="3854" width="14.375" style="1637" customWidth="1"/>
    <col min="3855" max="3855" width="6.25" style="1637" customWidth="1"/>
    <col min="3856" max="3856" width="7.875" style="1637" customWidth="1"/>
    <col min="3857" max="4096" width="9" style="1637"/>
    <col min="4097" max="4097" width="36" style="1637" customWidth="1"/>
    <col min="4098" max="4098" width="6.25" style="1637" customWidth="1"/>
    <col min="4099" max="4099" width="11.75" style="1637" customWidth="1"/>
    <col min="4100" max="4100" width="6.25" style="1637" customWidth="1"/>
    <col min="4101" max="4101" width="36" style="1637" customWidth="1"/>
    <col min="4102" max="4102" width="7.875" style="1637" customWidth="1"/>
    <col min="4103" max="4104" width="13.875" style="1637" customWidth="1"/>
    <col min="4105" max="4105" width="19.125" style="1637" customWidth="1"/>
    <col min="4106" max="4106" width="9" style="1637" customWidth="1"/>
    <col min="4107" max="4107" width="36" style="1637" customWidth="1"/>
    <col min="4108" max="4108" width="10.625" style="1637" customWidth="1"/>
    <col min="4109" max="4110" width="14.375" style="1637" customWidth="1"/>
    <col min="4111" max="4111" width="6.25" style="1637" customWidth="1"/>
    <col min="4112" max="4112" width="7.875" style="1637" customWidth="1"/>
    <col min="4113" max="4352" width="9" style="1637"/>
    <col min="4353" max="4353" width="36" style="1637" customWidth="1"/>
    <col min="4354" max="4354" width="6.25" style="1637" customWidth="1"/>
    <col min="4355" max="4355" width="11.75" style="1637" customWidth="1"/>
    <col min="4356" max="4356" width="6.25" style="1637" customWidth="1"/>
    <col min="4357" max="4357" width="36" style="1637" customWidth="1"/>
    <col min="4358" max="4358" width="7.875" style="1637" customWidth="1"/>
    <col min="4359" max="4360" width="13.875" style="1637" customWidth="1"/>
    <col min="4361" max="4361" width="19.125" style="1637" customWidth="1"/>
    <col min="4362" max="4362" width="9" style="1637" customWidth="1"/>
    <col min="4363" max="4363" width="36" style="1637" customWidth="1"/>
    <col min="4364" max="4364" width="10.625" style="1637" customWidth="1"/>
    <col min="4365" max="4366" width="14.375" style="1637" customWidth="1"/>
    <col min="4367" max="4367" width="6.25" style="1637" customWidth="1"/>
    <col min="4368" max="4368" width="7.875" style="1637" customWidth="1"/>
    <col min="4369" max="4608" width="9" style="1637"/>
    <col min="4609" max="4609" width="36" style="1637" customWidth="1"/>
    <col min="4610" max="4610" width="6.25" style="1637" customWidth="1"/>
    <col min="4611" max="4611" width="11.75" style="1637" customWidth="1"/>
    <col min="4612" max="4612" width="6.25" style="1637" customWidth="1"/>
    <col min="4613" max="4613" width="36" style="1637" customWidth="1"/>
    <col min="4614" max="4614" width="7.875" style="1637" customWidth="1"/>
    <col min="4615" max="4616" width="13.875" style="1637" customWidth="1"/>
    <col min="4617" max="4617" width="19.125" style="1637" customWidth="1"/>
    <col min="4618" max="4618" width="9" style="1637" customWidth="1"/>
    <col min="4619" max="4619" width="36" style="1637" customWidth="1"/>
    <col min="4620" max="4620" width="10.625" style="1637" customWidth="1"/>
    <col min="4621" max="4622" width="14.375" style="1637" customWidth="1"/>
    <col min="4623" max="4623" width="6.25" style="1637" customWidth="1"/>
    <col min="4624" max="4624" width="7.875" style="1637" customWidth="1"/>
    <col min="4625" max="4864" width="9" style="1637"/>
    <col min="4865" max="4865" width="36" style="1637" customWidth="1"/>
    <col min="4866" max="4866" width="6.25" style="1637" customWidth="1"/>
    <col min="4867" max="4867" width="11.75" style="1637" customWidth="1"/>
    <col min="4868" max="4868" width="6.25" style="1637" customWidth="1"/>
    <col min="4869" max="4869" width="36" style="1637" customWidth="1"/>
    <col min="4870" max="4870" width="7.875" style="1637" customWidth="1"/>
    <col min="4871" max="4872" width="13.875" style="1637" customWidth="1"/>
    <col min="4873" max="4873" width="19.125" style="1637" customWidth="1"/>
    <col min="4874" max="4874" width="9" style="1637" customWidth="1"/>
    <col min="4875" max="4875" width="36" style="1637" customWidth="1"/>
    <col min="4876" max="4876" width="10.625" style="1637" customWidth="1"/>
    <col min="4877" max="4878" width="14.375" style="1637" customWidth="1"/>
    <col min="4879" max="4879" width="6.25" style="1637" customWidth="1"/>
    <col min="4880" max="4880" width="7.875" style="1637" customWidth="1"/>
    <col min="4881" max="5120" width="9" style="1637"/>
    <col min="5121" max="5121" width="36" style="1637" customWidth="1"/>
    <col min="5122" max="5122" width="6.25" style="1637" customWidth="1"/>
    <col min="5123" max="5123" width="11.75" style="1637" customWidth="1"/>
    <col min="5124" max="5124" width="6.25" style="1637" customWidth="1"/>
    <col min="5125" max="5125" width="36" style="1637" customWidth="1"/>
    <col min="5126" max="5126" width="7.875" style="1637" customWidth="1"/>
    <col min="5127" max="5128" width="13.875" style="1637" customWidth="1"/>
    <col min="5129" max="5129" width="19.125" style="1637" customWidth="1"/>
    <col min="5130" max="5130" width="9" style="1637" customWidth="1"/>
    <col min="5131" max="5131" width="36" style="1637" customWidth="1"/>
    <col min="5132" max="5132" width="10.625" style="1637" customWidth="1"/>
    <col min="5133" max="5134" width="14.375" style="1637" customWidth="1"/>
    <col min="5135" max="5135" width="6.25" style="1637" customWidth="1"/>
    <col min="5136" max="5136" width="7.875" style="1637" customWidth="1"/>
    <col min="5137" max="5376" width="9" style="1637"/>
    <col min="5377" max="5377" width="36" style="1637" customWidth="1"/>
    <col min="5378" max="5378" width="6.25" style="1637" customWidth="1"/>
    <col min="5379" max="5379" width="11.75" style="1637" customWidth="1"/>
    <col min="5380" max="5380" width="6.25" style="1637" customWidth="1"/>
    <col min="5381" max="5381" width="36" style="1637" customWidth="1"/>
    <col min="5382" max="5382" width="7.875" style="1637" customWidth="1"/>
    <col min="5383" max="5384" width="13.875" style="1637" customWidth="1"/>
    <col min="5385" max="5385" width="19.125" style="1637" customWidth="1"/>
    <col min="5386" max="5386" width="9" style="1637" customWidth="1"/>
    <col min="5387" max="5387" width="36" style="1637" customWidth="1"/>
    <col min="5388" max="5388" width="10.625" style="1637" customWidth="1"/>
    <col min="5389" max="5390" width="14.375" style="1637" customWidth="1"/>
    <col min="5391" max="5391" width="6.25" style="1637" customWidth="1"/>
    <col min="5392" max="5392" width="7.875" style="1637" customWidth="1"/>
    <col min="5393" max="5632" width="9" style="1637"/>
    <col min="5633" max="5633" width="36" style="1637" customWidth="1"/>
    <col min="5634" max="5634" width="6.25" style="1637" customWidth="1"/>
    <col min="5635" max="5635" width="11.75" style="1637" customWidth="1"/>
    <col min="5636" max="5636" width="6.25" style="1637" customWidth="1"/>
    <col min="5637" max="5637" width="36" style="1637" customWidth="1"/>
    <col min="5638" max="5638" width="7.875" style="1637" customWidth="1"/>
    <col min="5639" max="5640" width="13.875" style="1637" customWidth="1"/>
    <col min="5641" max="5641" width="19.125" style="1637" customWidth="1"/>
    <col min="5642" max="5642" width="9" style="1637" customWidth="1"/>
    <col min="5643" max="5643" width="36" style="1637" customWidth="1"/>
    <col min="5644" max="5644" width="10.625" style="1637" customWidth="1"/>
    <col min="5645" max="5646" width="14.375" style="1637" customWidth="1"/>
    <col min="5647" max="5647" width="6.25" style="1637" customWidth="1"/>
    <col min="5648" max="5648" width="7.875" style="1637" customWidth="1"/>
    <col min="5649" max="5888" width="9" style="1637"/>
    <col min="5889" max="5889" width="36" style="1637" customWidth="1"/>
    <col min="5890" max="5890" width="6.25" style="1637" customWidth="1"/>
    <col min="5891" max="5891" width="11.75" style="1637" customWidth="1"/>
    <col min="5892" max="5892" width="6.25" style="1637" customWidth="1"/>
    <col min="5893" max="5893" width="36" style="1637" customWidth="1"/>
    <col min="5894" max="5894" width="7.875" style="1637" customWidth="1"/>
    <col min="5895" max="5896" width="13.875" style="1637" customWidth="1"/>
    <col min="5897" max="5897" width="19.125" style="1637" customWidth="1"/>
    <col min="5898" max="5898" width="9" style="1637" customWidth="1"/>
    <col min="5899" max="5899" width="36" style="1637" customWidth="1"/>
    <col min="5900" max="5900" width="10.625" style="1637" customWidth="1"/>
    <col min="5901" max="5902" width="14.375" style="1637" customWidth="1"/>
    <col min="5903" max="5903" width="6.25" style="1637" customWidth="1"/>
    <col min="5904" max="5904" width="7.875" style="1637" customWidth="1"/>
    <col min="5905" max="6144" width="9" style="1637"/>
    <col min="6145" max="6145" width="36" style="1637" customWidth="1"/>
    <col min="6146" max="6146" width="6.25" style="1637" customWidth="1"/>
    <col min="6147" max="6147" width="11.75" style="1637" customWidth="1"/>
    <col min="6148" max="6148" width="6.25" style="1637" customWidth="1"/>
    <col min="6149" max="6149" width="36" style="1637" customWidth="1"/>
    <col min="6150" max="6150" width="7.875" style="1637" customWidth="1"/>
    <col min="6151" max="6152" width="13.875" style="1637" customWidth="1"/>
    <col min="6153" max="6153" width="19.125" style="1637" customWidth="1"/>
    <col min="6154" max="6154" width="9" style="1637" customWidth="1"/>
    <col min="6155" max="6155" width="36" style="1637" customWidth="1"/>
    <col min="6156" max="6156" width="10.625" style="1637" customWidth="1"/>
    <col min="6157" max="6158" width="14.375" style="1637" customWidth="1"/>
    <col min="6159" max="6159" width="6.25" style="1637" customWidth="1"/>
    <col min="6160" max="6160" width="7.875" style="1637" customWidth="1"/>
    <col min="6161" max="6400" width="9" style="1637"/>
    <col min="6401" max="6401" width="36" style="1637" customWidth="1"/>
    <col min="6402" max="6402" width="6.25" style="1637" customWidth="1"/>
    <col min="6403" max="6403" width="11.75" style="1637" customWidth="1"/>
    <col min="6404" max="6404" width="6.25" style="1637" customWidth="1"/>
    <col min="6405" max="6405" width="36" style="1637" customWidth="1"/>
    <col min="6406" max="6406" width="7.875" style="1637" customWidth="1"/>
    <col min="6407" max="6408" width="13.875" style="1637" customWidth="1"/>
    <col min="6409" max="6409" width="19.125" style="1637" customWidth="1"/>
    <col min="6410" max="6410" width="9" style="1637" customWidth="1"/>
    <col min="6411" max="6411" width="36" style="1637" customWidth="1"/>
    <col min="6412" max="6412" width="10.625" style="1637" customWidth="1"/>
    <col min="6413" max="6414" width="14.375" style="1637" customWidth="1"/>
    <col min="6415" max="6415" width="6.25" style="1637" customWidth="1"/>
    <col min="6416" max="6416" width="7.875" style="1637" customWidth="1"/>
    <col min="6417" max="6656" width="9" style="1637"/>
    <col min="6657" max="6657" width="36" style="1637" customWidth="1"/>
    <col min="6658" max="6658" width="6.25" style="1637" customWidth="1"/>
    <col min="6659" max="6659" width="11.75" style="1637" customWidth="1"/>
    <col min="6660" max="6660" width="6.25" style="1637" customWidth="1"/>
    <col min="6661" max="6661" width="36" style="1637" customWidth="1"/>
    <col min="6662" max="6662" width="7.875" style="1637" customWidth="1"/>
    <col min="6663" max="6664" width="13.875" style="1637" customWidth="1"/>
    <col min="6665" max="6665" width="19.125" style="1637" customWidth="1"/>
    <col min="6666" max="6666" width="9" style="1637" customWidth="1"/>
    <col min="6667" max="6667" width="36" style="1637" customWidth="1"/>
    <col min="6668" max="6668" width="10.625" style="1637" customWidth="1"/>
    <col min="6669" max="6670" width="14.375" style="1637" customWidth="1"/>
    <col min="6671" max="6671" width="6.25" style="1637" customWidth="1"/>
    <col min="6672" max="6672" width="7.875" style="1637" customWidth="1"/>
    <col min="6673" max="6912" width="9" style="1637"/>
    <col min="6913" max="6913" width="36" style="1637" customWidth="1"/>
    <col min="6914" max="6914" width="6.25" style="1637" customWidth="1"/>
    <col min="6915" max="6915" width="11.75" style="1637" customWidth="1"/>
    <col min="6916" max="6916" width="6.25" style="1637" customWidth="1"/>
    <col min="6917" max="6917" width="36" style="1637" customWidth="1"/>
    <col min="6918" max="6918" width="7.875" style="1637" customWidth="1"/>
    <col min="6919" max="6920" width="13.875" style="1637" customWidth="1"/>
    <col min="6921" max="6921" width="19.125" style="1637" customWidth="1"/>
    <col min="6922" max="6922" width="9" style="1637" customWidth="1"/>
    <col min="6923" max="6923" width="36" style="1637" customWidth="1"/>
    <col min="6924" max="6924" width="10.625" style="1637" customWidth="1"/>
    <col min="6925" max="6926" width="14.375" style="1637" customWidth="1"/>
    <col min="6927" max="6927" width="6.25" style="1637" customWidth="1"/>
    <col min="6928" max="6928" width="7.875" style="1637" customWidth="1"/>
    <col min="6929" max="7168" width="9" style="1637"/>
    <col min="7169" max="7169" width="36" style="1637" customWidth="1"/>
    <col min="7170" max="7170" width="6.25" style="1637" customWidth="1"/>
    <col min="7171" max="7171" width="11.75" style="1637" customWidth="1"/>
    <col min="7172" max="7172" width="6.25" style="1637" customWidth="1"/>
    <col min="7173" max="7173" width="36" style="1637" customWidth="1"/>
    <col min="7174" max="7174" width="7.875" style="1637" customWidth="1"/>
    <col min="7175" max="7176" width="13.875" style="1637" customWidth="1"/>
    <col min="7177" max="7177" width="19.125" style="1637" customWidth="1"/>
    <col min="7178" max="7178" width="9" style="1637" customWidth="1"/>
    <col min="7179" max="7179" width="36" style="1637" customWidth="1"/>
    <col min="7180" max="7180" width="10.625" style="1637" customWidth="1"/>
    <col min="7181" max="7182" width="14.375" style="1637" customWidth="1"/>
    <col min="7183" max="7183" width="6.25" style="1637" customWidth="1"/>
    <col min="7184" max="7184" width="7.875" style="1637" customWidth="1"/>
    <col min="7185" max="7424" width="9" style="1637"/>
    <col min="7425" max="7425" width="36" style="1637" customWidth="1"/>
    <col min="7426" max="7426" width="6.25" style="1637" customWidth="1"/>
    <col min="7427" max="7427" width="11.75" style="1637" customWidth="1"/>
    <col min="7428" max="7428" width="6.25" style="1637" customWidth="1"/>
    <col min="7429" max="7429" width="36" style="1637" customWidth="1"/>
    <col min="7430" max="7430" width="7.875" style="1637" customWidth="1"/>
    <col min="7431" max="7432" width="13.875" style="1637" customWidth="1"/>
    <col min="7433" max="7433" width="19.125" style="1637" customWidth="1"/>
    <col min="7434" max="7434" width="9" style="1637" customWidth="1"/>
    <col min="7435" max="7435" width="36" style="1637" customWidth="1"/>
    <col min="7436" max="7436" width="10.625" style="1637" customWidth="1"/>
    <col min="7437" max="7438" width="14.375" style="1637" customWidth="1"/>
    <col min="7439" max="7439" width="6.25" style="1637" customWidth="1"/>
    <col min="7440" max="7440" width="7.875" style="1637" customWidth="1"/>
    <col min="7441" max="7680" width="9" style="1637"/>
    <col min="7681" max="7681" width="36" style="1637" customWidth="1"/>
    <col min="7682" max="7682" width="6.25" style="1637" customWidth="1"/>
    <col min="7683" max="7683" width="11.75" style="1637" customWidth="1"/>
    <col min="7684" max="7684" width="6.25" style="1637" customWidth="1"/>
    <col min="7685" max="7685" width="36" style="1637" customWidth="1"/>
    <col min="7686" max="7686" width="7.875" style="1637" customWidth="1"/>
    <col min="7687" max="7688" width="13.875" style="1637" customWidth="1"/>
    <col min="7689" max="7689" width="19.125" style="1637" customWidth="1"/>
    <col min="7690" max="7690" width="9" style="1637" customWidth="1"/>
    <col min="7691" max="7691" width="36" style="1637" customWidth="1"/>
    <col min="7692" max="7692" width="10.625" style="1637" customWidth="1"/>
    <col min="7693" max="7694" width="14.375" style="1637" customWidth="1"/>
    <col min="7695" max="7695" width="6.25" style="1637" customWidth="1"/>
    <col min="7696" max="7696" width="7.875" style="1637" customWidth="1"/>
    <col min="7697" max="7936" width="9" style="1637"/>
    <col min="7937" max="7937" width="36" style="1637" customWidth="1"/>
    <col min="7938" max="7938" width="6.25" style="1637" customWidth="1"/>
    <col min="7939" max="7939" width="11.75" style="1637" customWidth="1"/>
    <col min="7940" max="7940" width="6.25" style="1637" customWidth="1"/>
    <col min="7941" max="7941" width="36" style="1637" customWidth="1"/>
    <col min="7942" max="7942" width="7.875" style="1637" customWidth="1"/>
    <col min="7943" max="7944" width="13.875" style="1637" customWidth="1"/>
    <col min="7945" max="7945" width="19.125" style="1637" customWidth="1"/>
    <col min="7946" max="7946" width="9" style="1637" customWidth="1"/>
    <col min="7947" max="7947" width="36" style="1637" customWidth="1"/>
    <col min="7948" max="7948" width="10.625" style="1637" customWidth="1"/>
    <col min="7949" max="7950" width="14.375" style="1637" customWidth="1"/>
    <col min="7951" max="7951" width="6.25" style="1637" customWidth="1"/>
    <col min="7952" max="7952" width="7.875" style="1637" customWidth="1"/>
    <col min="7953" max="8192" width="9" style="1637"/>
    <col min="8193" max="8193" width="36" style="1637" customWidth="1"/>
    <col min="8194" max="8194" width="6.25" style="1637" customWidth="1"/>
    <col min="8195" max="8195" width="11.75" style="1637" customWidth="1"/>
    <col min="8196" max="8196" width="6.25" style="1637" customWidth="1"/>
    <col min="8197" max="8197" width="36" style="1637" customWidth="1"/>
    <col min="8198" max="8198" width="7.875" style="1637" customWidth="1"/>
    <col min="8199" max="8200" width="13.875" style="1637" customWidth="1"/>
    <col min="8201" max="8201" width="19.125" style="1637" customWidth="1"/>
    <col min="8202" max="8202" width="9" style="1637" customWidth="1"/>
    <col min="8203" max="8203" width="36" style="1637" customWidth="1"/>
    <col min="8204" max="8204" width="10.625" style="1637" customWidth="1"/>
    <col min="8205" max="8206" width="14.375" style="1637" customWidth="1"/>
    <col min="8207" max="8207" width="6.25" style="1637" customWidth="1"/>
    <col min="8208" max="8208" width="7.875" style="1637" customWidth="1"/>
    <col min="8209" max="8448" width="9" style="1637"/>
    <col min="8449" max="8449" width="36" style="1637" customWidth="1"/>
    <col min="8450" max="8450" width="6.25" style="1637" customWidth="1"/>
    <col min="8451" max="8451" width="11.75" style="1637" customWidth="1"/>
    <col min="8452" max="8452" width="6.25" style="1637" customWidth="1"/>
    <col min="8453" max="8453" width="36" style="1637" customWidth="1"/>
    <col min="8454" max="8454" width="7.875" style="1637" customWidth="1"/>
    <col min="8455" max="8456" width="13.875" style="1637" customWidth="1"/>
    <col min="8457" max="8457" width="19.125" style="1637" customWidth="1"/>
    <col min="8458" max="8458" width="9" style="1637" customWidth="1"/>
    <col min="8459" max="8459" width="36" style="1637" customWidth="1"/>
    <col min="8460" max="8460" width="10.625" style="1637" customWidth="1"/>
    <col min="8461" max="8462" width="14.375" style="1637" customWidth="1"/>
    <col min="8463" max="8463" width="6.25" style="1637" customWidth="1"/>
    <col min="8464" max="8464" width="7.875" style="1637" customWidth="1"/>
    <col min="8465" max="8704" width="9" style="1637"/>
    <col min="8705" max="8705" width="36" style="1637" customWidth="1"/>
    <col min="8706" max="8706" width="6.25" style="1637" customWidth="1"/>
    <col min="8707" max="8707" width="11.75" style="1637" customWidth="1"/>
    <col min="8708" max="8708" width="6.25" style="1637" customWidth="1"/>
    <col min="8709" max="8709" width="36" style="1637" customWidth="1"/>
    <col min="8710" max="8710" width="7.875" style="1637" customWidth="1"/>
    <col min="8711" max="8712" width="13.875" style="1637" customWidth="1"/>
    <col min="8713" max="8713" width="19.125" style="1637" customWidth="1"/>
    <col min="8714" max="8714" width="9" style="1637" customWidth="1"/>
    <col min="8715" max="8715" width="36" style="1637" customWidth="1"/>
    <col min="8716" max="8716" width="10.625" style="1637" customWidth="1"/>
    <col min="8717" max="8718" width="14.375" style="1637" customWidth="1"/>
    <col min="8719" max="8719" width="6.25" style="1637" customWidth="1"/>
    <col min="8720" max="8720" width="7.875" style="1637" customWidth="1"/>
    <col min="8721" max="8960" width="9" style="1637"/>
    <col min="8961" max="8961" width="36" style="1637" customWidth="1"/>
    <col min="8962" max="8962" width="6.25" style="1637" customWidth="1"/>
    <col min="8963" max="8963" width="11.75" style="1637" customWidth="1"/>
    <col min="8964" max="8964" width="6.25" style="1637" customWidth="1"/>
    <col min="8965" max="8965" width="36" style="1637" customWidth="1"/>
    <col min="8966" max="8966" width="7.875" style="1637" customWidth="1"/>
    <col min="8967" max="8968" width="13.875" style="1637" customWidth="1"/>
    <col min="8969" max="8969" width="19.125" style="1637" customWidth="1"/>
    <col min="8970" max="8970" width="9" style="1637" customWidth="1"/>
    <col min="8971" max="8971" width="36" style="1637" customWidth="1"/>
    <col min="8972" max="8972" width="10.625" style="1637" customWidth="1"/>
    <col min="8973" max="8974" width="14.375" style="1637" customWidth="1"/>
    <col min="8975" max="8975" width="6.25" style="1637" customWidth="1"/>
    <col min="8976" max="8976" width="7.875" style="1637" customWidth="1"/>
    <col min="8977" max="9216" width="9" style="1637"/>
    <col min="9217" max="9217" width="36" style="1637" customWidth="1"/>
    <col min="9218" max="9218" width="6.25" style="1637" customWidth="1"/>
    <col min="9219" max="9219" width="11.75" style="1637" customWidth="1"/>
    <col min="9220" max="9220" width="6.25" style="1637" customWidth="1"/>
    <col min="9221" max="9221" width="36" style="1637" customWidth="1"/>
    <col min="9222" max="9222" width="7.875" style="1637" customWidth="1"/>
    <col min="9223" max="9224" width="13.875" style="1637" customWidth="1"/>
    <col min="9225" max="9225" width="19.125" style="1637" customWidth="1"/>
    <col min="9226" max="9226" width="9" style="1637" customWidth="1"/>
    <col min="9227" max="9227" width="36" style="1637" customWidth="1"/>
    <col min="9228" max="9228" width="10.625" style="1637" customWidth="1"/>
    <col min="9229" max="9230" width="14.375" style="1637" customWidth="1"/>
    <col min="9231" max="9231" width="6.25" style="1637" customWidth="1"/>
    <col min="9232" max="9232" width="7.875" style="1637" customWidth="1"/>
    <col min="9233" max="9472" width="9" style="1637"/>
    <col min="9473" max="9473" width="36" style="1637" customWidth="1"/>
    <col min="9474" max="9474" width="6.25" style="1637" customWidth="1"/>
    <col min="9475" max="9475" width="11.75" style="1637" customWidth="1"/>
    <col min="9476" max="9476" width="6.25" style="1637" customWidth="1"/>
    <col min="9477" max="9477" width="36" style="1637" customWidth="1"/>
    <col min="9478" max="9478" width="7.875" style="1637" customWidth="1"/>
    <col min="9479" max="9480" width="13.875" style="1637" customWidth="1"/>
    <col min="9481" max="9481" width="19.125" style="1637" customWidth="1"/>
    <col min="9482" max="9482" width="9" style="1637" customWidth="1"/>
    <col min="9483" max="9483" width="36" style="1637" customWidth="1"/>
    <col min="9484" max="9484" width="10.625" style="1637" customWidth="1"/>
    <col min="9485" max="9486" width="14.375" style="1637" customWidth="1"/>
    <col min="9487" max="9487" width="6.25" style="1637" customWidth="1"/>
    <col min="9488" max="9488" width="7.875" style="1637" customWidth="1"/>
    <col min="9489" max="9728" width="9" style="1637"/>
    <col min="9729" max="9729" width="36" style="1637" customWidth="1"/>
    <col min="9730" max="9730" width="6.25" style="1637" customWidth="1"/>
    <col min="9731" max="9731" width="11.75" style="1637" customWidth="1"/>
    <col min="9732" max="9732" width="6.25" style="1637" customWidth="1"/>
    <col min="9733" max="9733" width="36" style="1637" customWidth="1"/>
    <col min="9734" max="9734" width="7.875" style="1637" customWidth="1"/>
    <col min="9735" max="9736" width="13.875" style="1637" customWidth="1"/>
    <col min="9737" max="9737" width="19.125" style="1637" customWidth="1"/>
    <col min="9738" max="9738" width="9" style="1637" customWidth="1"/>
    <col min="9739" max="9739" width="36" style="1637" customWidth="1"/>
    <col min="9740" max="9740" width="10.625" style="1637" customWidth="1"/>
    <col min="9741" max="9742" width="14.375" style="1637" customWidth="1"/>
    <col min="9743" max="9743" width="6.25" style="1637" customWidth="1"/>
    <col min="9744" max="9744" width="7.875" style="1637" customWidth="1"/>
    <col min="9745" max="9984" width="9" style="1637"/>
    <col min="9985" max="9985" width="36" style="1637" customWidth="1"/>
    <col min="9986" max="9986" width="6.25" style="1637" customWidth="1"/>
    <col min="9987" max="9987" width="11.75" style="1637" customWidth="1"/>
    <col min="9988" max="9988" width="6.25" style="1637" customWidth="1"/>
    <col min="9989" max="9989" width="36" style="1637" customWidth="1"/>
    <col min="9990" max="9990" width="7.875" style="1637" customWidth="1"/>
    <col min="9991" max="9992" width="13.875" style="1637" customWidth="1"/>
    <col min="9993" max="9993" width="19.125" style="1637" customWidth="1"/>
    <col min="9994" max="9994" width="9" style="1637" customWidth="1"/>
    <col min="9995" max="9995" width="36" style="1637" customWidth="1"/>
    <col min="9996" max="9996" width="10.625" style="1637" customWidth="1"/>
    <col min="9997" max="9998" width="14.375" style="1637" customWidth="1"/>
    <col min="9999" max="9999" width="6.25" style="1637" customWidth="1"/>
    <col min="10000" max="10000" width="7.875" style="1637" customWidth="1"/>
    <col min="10001" max="10240" width="9" style="1637"/>
    <col min="10241" max="10241" width="36" style="1637" customWidth="1"/>
    <col min="10242" max="10242" width="6.25" style="1637" customWidth="1"/>
    <col min="10243" max="10243" width="11.75" style="1637" customWidth="1"/>
    <col min="10244" max="10244" width="6.25" style="1637" customWidth="1"/>
    <col min="10245" max="10245" width="36" style="1637" customWidth="1"/>
    <col min="10246" max="10246" width="7.875" style="1637" customWidth="1"/>
    <col min="10247" max="10248" width="13.875" style="1637" customWidth="1"/>
    <col min="10249" max="10249" width="19.125" style="1637" customWidth="1"/>
    <col min="10250" max="10250" width="9" style="1637" customWidth="1"/>
    <col min="10251" max="10251" width="36" style="1637" customWidth="1"/>
    <col min="10252" max="10252" width="10.625" style="1637" customWidth="1"/>
    <col min="10253" max="10254" width="14.375" style="1637" customWidth="1"/>
    <col min="10255" max="10255" width="6.25" style="1637" customWidth="1"/>
    <col min="10256" max="10256" width="7.875" style="1637" customWidth="1"/>
    <col min="10257" max="10496" width="9" style="1637"/>
    <col min="10497" max="10497" width="36" style="1637" customWidth="1"/>
    <col min="10498" max="10498" width="6.25" style="1637" customWidth="1"/>
    <col min="10499" max="10499" width="11.75" style="1637" customWidth="1"/>
    <col min="10500" max="10500" width="6.25" style="1637" customWidth="1"/>
    <col min="10501" max="10501" width="36" style="1637" customWidth="1"/>
    <col min="10502" max="10502" width="7.875" style="1637" customWidth="1"/>
    <col min="10503" max="10504" width="13.875" style="1637" customWidth="1"/>
    <col min="10505" max="10505" width="19.125" style="1637" customWidth="1"/>
    <col min="10506" max="10506" width="9" style="1637" customWidth="1"/>
    <col min="10507" max="10507" width="36" style="1637" customWidth="1"/>
    <col min="10508" max="10508" width="10.625" style="1637" customWidth="1"/>
    <col min="10509" max="10510" width="14.375" style="1637" customWidth="1"/>
    <col min="10511" max="10511" width="6.25" style="1637" customWidth="1"/>
    <col min="10512" max="10512" width="7.875" style="1637" customWidth="1"/>
    <col min="10513" max="10752" width="9" style="1637"/>
    <col min="10753" max="10753" width="36" style="1637" customWidth="1"/>
    <col min="10754" max="10754" width="6.25" style="1637" customWidth="1"/>
    <col min="10755" max="10755" width="11.75" style="1637" customWidth="1"/>
    <col min="10756" max="10756" width="6.25" style="1637" customWidth="1"/>
    <col min="10757" max="10757" width="36" style="1637" customWidth="1"/>
    <col min="10758" max="10758" width="7.875" style="1637" customWidth="1"/>
    <col min="10759" max="10760" width="13.875" style="1637" customWidth="1"/>
    <col min="10761" max="10761" width="19.125" style="1637" customWidth="1"/>
    <col min="10762" max="10762" width="9" style="1637" customWidth="1"/>
    <col min="10763" max="10763" width="36" style="1637" customWidth="1"/>
    <col min="10764" max="10764" width="10.625" style="1637" customWidth="1"/>
    <col min="10765" max="10766" width="14.375" style="1637" customWidth="1"/>
    <col min="10767" max="10767" width="6.25" style="1637" customWidth="1"/>
    <col min="10768" max="10768" width="7.875" style="1637" customWidth="1"/>
    <col min="10769" max="11008" width="9" style="1637"/>
    <col min="11009" max="11009" width="36" style="1637" customWidth="1"/>
    <col min="11010" max="11010" width="6.25" style="1637" customWidth="1"/>
    <col min="11011" max="11011" width="11.75" style="1637" customWidth="1"/>
    <col min="11012" max="11012" width="6.25" style="1637" customWidth="1"/>
    <col min="11013" max="11013" width="36" style="1637" customWidth="1"/>
    <col min="11014" max="11014" width="7.875" style="1637" customWidth="1"/>
    <col min="11015" max="11016" width="13.875" style="1637" customWidth="1"/>
    <col min="11017" max="11017" width="19.125" style="1637" customWidth="1"/>
    <col min="11018" max="11018" width="9" style="1637" customWidth="1"/>
    <col min="11019" max="11019" width="36" style="1637" customWidth="1"/>
    <col min="11020" max="11020" width="10.625" style="1637" customWidth="1"/>
    <col min="11021" max="11022" width="14.375" style="1637" customWidth="1"/>
    <col min="11023" max="11023" width="6.25" style="1637" customWidth="1"/>
    <col min="11024" max="11024" width="7.875" style="1637" customWidth="1"/>
    <col min="11025" max="11264" width="9" style="1637"/>
    <col min="11265" max="11265" width="36" style="1637" customWidth="1"/>
    <col min="11266" max="11266" width="6.25" style="1637" customWidth="1"/>
    <col min="11267" max="11267" width="11.75" style="1637" customWidth="1"/>
    <col min="11268" max="11268" width="6.25" style="1637" customWidth="1"/>
    <col min="11269" max="11269" width="36" style="1637" customWidth="1"/>
    <col min="11270" max="11270" width="7.875" style="1637" customWidth="1"/>
    <col min="11271" max="11272" width="13.875" style="1637" customWidth="1"/>
    <col min="11273" max="11273" width="19.125" style="1637" customWidth="1"/>
    <col min="11274" max="11274" width="9" style="1637" customWidth="1"/>
    <col min="11275" max="11275" width="36" style="1637" customWidth="1"/>
    <col min="11276" max="11276" width="10.625" style="1637" customWidth="1"/>
    <col min="11277" max="11278" width="14.375" style="1637" customWidth="1"/>
    <col min="11279" max="11279" width="6.25" style="1637" customWidth="1"/>
    <col min="11280" max="11280" width="7.875" style="1637" customWidth="1"/>
    <col min="11281" max="11520" width="9" style="1637"/>
    <col min="11521" max="11521" width="36" style="1637" customWidth="1"/>
    <col min="11522" max="11522" width="6.25" style="1637" customWidth="1"/>
    <col min="11523" max="11523" width="11.75" style="1637" customWidth="1"/>
    <col min="11524" max="11524" width="6.25" style="1637" customWidth="1"/>
    <col min="11525" max="11525" width="36" style="1637" customWidth="1"/>
    <col min="11526" max="11526" width="7.875" style="1637" customWidth="1"/>
    <col min="11527" max="11528" width="13.875" style="1637" customWidth="1"/>
    <col min="11529" max="11529" width="19.125" style="1637" customWidth="1"/>
    <col min="11530" max="11530" width="9" style="1637" customWidth="1"/>
    <col min="11531" max="11531" width="36" style="1637" customWidth="1"/>
    <col min="11532" max="11532" width="10.625" style="1637" customWidth="1"/>
    <col min="11533" max="11534" width="14.375" style="1637" customWidth="1"/>
    <col min="11535" max="11535" width="6.25" style="1637" customWidth="1"/>
    <col min="11536" max="11536" width="7.875" style="1637" customWidth="1"/>
    <col min="11537" max="11776" width="9" style="1637"/>
    <col min="11777" max="11777" width="36" style="1637" customWidth="1"/>
    <col min="11778" max="11778" width="6.25" style="1637" customWidth="1"/>
    <col min="11779" max="11779" width="11.75" style="1637" customWidth="1"/>
    <col min="11780" max="11780" width="6.25" style="1637" customWidth="1"/>
    <col min="11781" max="11781" width="36" style="1637" customWidth="1"/>
    <col min="11782" max="11782" width="7.875" style="1637" customWidth="1"/>
    <col min="11783" max="11784" width="13.875" style="1637" customWidth="1"/>
    <col min="11785" max="11785" width="19.125" style="1637" customWidth="1"/>
    <col min="11786" max="11786" width="9" style="1637" customWidth="1"/>
    <col min="11787" max="11787" width="36" style="1637" customWidth="1"/>
    <col min="11788" max="11788" width="10.625" style="1637" customWidth="1"/>
    <col min="11789" max="11790" width="14.375" style="1637" customWidth="1"/>
    <col min="11791" max="11791" width="6.25" style="1637" customWidth="1"/>
    <col min="11792" max="11792" width="7.875" style="1637" customWidth="1"/>
    <col min="11793" max="12032" width="9" style="1637"/>
    <col min="12033" max="12033" width="36" style="1637" customWidth="1"/>
    <col min="12034" max="12034" width="6.25" style="1637" customWidth="1"/>
    <col min="12035" max="12035" width="11.75" style="1637" customWidth="1"/>
    <col min="12036" max="12036" width="6.25" style="1637" customWidth="1"/>
    <col min="12037" max="12037" width="36" style="1637" customWidth="1"/>
    <col min="12038" max="12038" width="7.875" style="1637" customWidth="1"/>
    <col min="12039" max="12040" width="13.875" style="1637" customWidth="1"/>
    <col min="12041" max="12041" width="19.125" style="1637" customWidth="1"/>
    <col min="12042" max="12042" width="9" style="1637" customWidth="1"/>
    <col min="12043" max="12043" width="36" style="1637" customWidth="1"/>
    <col min="12044" max="12044" width="10.625" style="1637" customWidth="1"/>
    <col min="12045" max="12046" width="14.375" style="1637" customWidth="1"/>
    <col min="12047" max="12047" width="6.25" style="1637" customWidth="1"/>
    <col min="12048" max="12048" width="7.875" style="1637" customWidth="1"/>
    <col min="12049" max="12288" width="9" style="1637"/>
    <col min="12289" max="12289" width="36" style="1637" customWidth="1"/>
    <col min="12290" max="12290" width="6.25" style="1637" customWidth="1"/>
    <col min="12291" max="12291" width="11.75" style="1637" customWidth="1"/>
    <col min="12292" max="12292" width="6.25" style="1637" customWidth="1"/>
    <col min="12293" max="12293" width="36" style="1637" customWidth="1"/>
    <col min="12294" max="12294" width="7.875" style="1637" customWidth="1"/>
    <col min="12295" max="12296" width="13.875" style="1637" customWidth="1"/>
    <col min="12297" max="12297" width="19.125" style="1637" customWidth="1"/>
    <col min="12298" max="12298" width="9" style="1637" customWidth="1"/>
    <col min="12299" max="12299" width="36" style="1637" customWidth="1"/>
    <col min="12300" max="12300" width="10.625" style="1637" customWidth="1"/>
    <col min="12301" max="12302" width="14.375" style="1637" customWidth="1"/>
    <col min="12303" max="12303" width="6.25" style="1637" customWidth="1"/>
    <col min="12304" max="12304" width="7.875" style="1637" customWidth="1"/>
    <col min="12305" max="12544" width="9" style="1637"/>
    <col min="12545" max="12545" width="36" style="1637" customWidth="1"/>
    <col min="12546" max="12546" width="6.25" style="1637" customWidth="1"/>
    <col min="12547" max="12547" width="11.75" style="1637" customWidth="1"/>
    <col min="12548" max="12548" width="6.25" style="1637" customWidth="1"/>
    <col min="12549" max="12549" width="36" style="1637" customWidth="1"/>
    <col min="12550" max="12550" width="7.875" style="1637" customWidth="1"/>
    <col min="12551" max="12552" width="13.875" style="1637" customWidth="1"/>
    <col min="12553" max="12553" width="19.125" style="1637" customWidth="1"/>
    <col min="12554" max="12554" width="9" style="1637" customWidth="1"/>
    <col min="12555" max="12555" width="36" style="1637" customWidth="1"/>
    <col min="12556" max="12556" width="10.625" style="1637" customWidth="1"/>
    <col min="12557" max="12558" width="14.375" style="1637" customWidth="1"/>
    <col min="12559" max="12559" width="6.25" style="1637" customWidth="1"/>
    <col min="12560" max="12560" width="7.875" style="1637" customWidth="1"/>
    <col min="12561" max="12800" width="9" style="1637"/>
    <col min="12801" max="12801" width="36" style="1637" customWidth="1"/>
    <col min="12802" max="12802" width="6.25" style="1637" customWidth="1"/>
    <col min="12803" max="12803" width="11.75" style="1637" customWidth="1"/>
    <col min="12804" max="12804" width="6.25" style="1637" customWidth="1"/>
    <col min="12805" max="12805" width="36" style="1637" customWidth="1"/>
    <col min="12806" max="12806" width="7.875" style="1637" customWidth="1"/>
    <col min="12807" max="12808" width="13.875" style="1637" customWidth="1"/>
    <col min="12809" max="12809" width="19.125" style="1637" customWidth="1"/>
    <col min="12810" max="12810" width="9" style="1637" customWidth="1"/>
    <col min="12811" max="12811" width="36" style="1637" customWidth="1"/>
    <col min="12812" max="12812" width="10.625" style="1637" customWidth="1"/>
    <col min="12813" max="12814" width="14.375" style="1637" customWidth="1"/>
    <col min="12815" max="12815" width="6.25" style="1637" customWidth="1"/>
    <col min="12816" max="12816" width="7.875" style="1637" customWidth="1"/>
    <col min="12817" max="13056" width="9" style="1637"/>
    <col min="13057" max="13057" width="36" style="1637" customWidth="1"/>
    <col min="13058" max="13058" width="6.25" style="1637" customWidth="1"/>
    <col min="13059" max="13059" width="11.75" style="1637" customWidth="1"/>
    <col min="13060" max="13060" width="6.25" style="1637" customWidth="1"/>
    <col min="13061" max="13061" width="36" style="1637" customWidth="1"/>
    <col min="13062" max="13062" width="7.875" style="1637" customWidth="1"/>
    <col min="13063" max="13064" width="13.875" style="1637" customWidth="1"/>
    <col min="13065" max="13065" width="19.125" style="1637" customWidth="1"/>
    <col min="13066" max="13066" width="9" style="1637" customWidth="1"/>
    <col min="13067" max="13067" width="36" style="1637" customWidth="1"/>
    <col min="13068" max="13068" width="10.625" style="1637" customWidth="1"/>
    <col min="13069" max="13070" width="14.375" style="1637" customWidth="1"/>
    <col min="13071" max="13071" width="6.25" style="1637" customWidth="1"/>
    <col min="13072" max="13072" width="7.875" style="1637" customWidth="1"/>
    <col min="13073" max="13312" width="9" style="1637"/>
    <col min="13313" max="13313" width="36" style="1637" customWidth="1"/>
    <col min="13314" max="13314" width="6.25" style="1637" customWidth="1"/>
    <col min="13315" max="13315" width="11.75" style="1637" customWidth="1"/>
    <col min="13316" max="13316" width="6.25" style="1637" customWidth="1"/>
    <col min="13317" max="13317" width="36" style="1637" customWidth="1"/>
    <col min="13318" max="13318" width="7.875" style="1637" customWidth="1"/>
    <col min="13319" max="13320" width="13.875" style="1637" customWidth="1"/>
    <col min="13321" max="13321" width="19.125" style="1637" customWidth="1"/>
    <col min="13322" max="13322" width="9" style="1637" customWidth="1"/>
    <col min="13323" max="13323" width="36" style="1637" customWidth="1"/>
    <col min="13324" max="13324" width="10.625" style="1637" customWidth="1"/>
    <col min="13325" max="13326" width="14.375" style="1637" customWidth="1"/>
    <col min="13327" max="13327" width="6.25" style="1637" customWidth="1"/>
    <col min="13328" max="13328" width="7.875" style="1637" customWidth="1"/>
    <col min="13329" max="13568" width="9" style="1637"/>
    <col min="13569" max="13569" width="36" style="1637" customWidth="1"/>
    <col min="13570" max="13570" width="6.25" style="1637" customWidth="1"/>
    <col min="13571" max="13571" width="11.75" style="1637" customWidth="1"/>
    <col min="13572" max="13572" width="6.25" style="1637" customWidth="1"/>
    <col min="13573" max="13573" width="36" style="1637" customWidth="1"/>
    <col min="13574" max="13574" width="7.875" style="1637" customWidth="1"/>
    <col min="13575" max="13576" width="13.875" style="1637" customWidth="1"/>
    <col min="13577" max="13577" width="19.125" style="1637" customWidth="1"/>
    <col min="13578" max="13578" width="9" style="1637" customWidth="1"/>
    <col min="13579" max="13579" width="36" style="1637" customWidth="1"/>
    <col min="13580" max="13580" width="10.625" style="1637" customWidth="1"/>
    <col min="13581" max="13582" width="14.375" style="1637" customWidth="1"/>
    <col min="13583" max="13583" width="6.25" style="1637" customWidth="1"/>
    <col min="13584" max="13584" width="7.875" style="1637" customWidth="1"/>
    <col min="13585" max="13824" width="9" style="1637"/>
    <col min="13825" max="13825" width="36" style="1637" customWidth="1"/>
    <col min="13826" max="13826" width="6.25" style="1637" customWidth="1"/>
    <col min="13827" max="13827" width="11.75" style="1637" customWidth="1"/>
    <col min="13828" max="13828" width="6.25" style="1637" customWidth="1"/>
    <col min="13829" max="13829" width="36" style="1637" customWidth="1"/>
    <col min="13830" max="13830" width="7.875" style="1637" customWidth="1"/>
    <col min="13831" max="13832" width="13.875" style="1637" customWidth="1"/>
    <col min="13833" max="13833" width="19.125" style="1637" customWidth="1"/>
    <col min="13834" max="13834" width="9" style="1637" customWidth="1"/>
    <col min="13835" max="13835" width="36" style="1637" customWidth="1"/>
    <col min="13836" max="13836" width="10.625" style="1637" customWidth="1"/>
    <col min="13837" max="13838" width="14.375" style="1637" customWidth="1"/>
    <col min="13839" max="13839" width="6.25" style="1637" customWidth="1"/>
    <col min="13840" max="13840" width="7.875" style="1637" customWidth="1"/>
    <col min="13841" max="14080" width="9" style="1637"/>
    <col min="14081" max="14081" width="36" style="1637" customWidth="1"/>
    <col min="14082" max="14082" width="6.25" style="1637" customWidth="1"/>
    <col min="14083" max="14083" width="11.75" style="1637" customWidth="1"/>
    <col min="14084" max="14084" width="6.25" style="1637" customWidth="1"/>
    <col min="14085" max="14085" width="36" style="1637" customWidth="1"/>
    <col min="14086" max="14086" width="7.875" style="1637" customWidth="1"/>
    <col min="14087" max="14088" width="13.875" style="1637" customWidth="1"/>
    <col min="14089" max="14089" width="19.125" style="1637" customWidth="1"/>
    <col min="14090" max="14090" width="9" style="1637" customWidth="1"/>
    <col min="14091" max="14091" width="36" style="1637" customWidth="1"/>
    <col min="14092" max="14092" width="10.625" style="1637" customWidth="1"/>
    <col min="14093" max="14094" width="14.375" style="1637" customWidth="1"/>
    <col min="14095" max="14095" width="6.25" style="1637" customWidth="1"/>
    <col min="14096" max="14096" width="7.875" style="1637" customWidth="1"/>
    <col min="14097" max="14336" width="9" style="1637"/>
    <col min="14337" max="14337" width="36" style="1637" customWidth="1"/>
    <col min="14338" max="14338" width="6.25" style="1637" customWidth="1"/>
    <col min="14339" max="14339" width="11.75" style="1637" customWidth="1"/>
    <col min="14340" max="14340" width="6.25" style="1637" customWidth="1"/>
    <col min="14341" max="14341" width="36" style="1637" customWidth="1"/>
    <col min="14342" max="14342" width="7.875" style="1637" customWidth="1"/>
    <col min="14343" max="14344" width="13.875" style="1637" customWidth="1"/>
    <col min="14345" max="14345" width="19.125" style="1637" customWidth="1"/>
    <col min="14346" max="14346" width="9" style="1637" customWidth="1"/>
    <col min="14347" max="14347" width="36" style="1637" customWidth="1"/>
    <col min="14348" max="14348" width="10.625" style="1637" customWidth="1"/>
    <col min="14349" max="14350" width="14.375" style="1637" customWidth="1"/>
    <col min="14351" max="14351" width="6.25" style="1637" customWidth="1"/>
    <col min="14352" max="14352" width="7.875" style="1637" customWidth="1"/>
    <col min="14353" max="14592" width="9" style="1637"/>
    <col min="14593" max="14593" width="36" style="1637" customWidth="1"/>
    <col min="14594" max="14594" width="6.25" style="1637" customWidth="1"/>
    <col min="14595" max="14595" width="11.75" style="1637" customWidth="1"/>
    <col min="14596" max="14596" width="6.25" style="1637" customWidth="1"/>
    <col min="14597" max="14597" width="36" style="1637" customWidth="1"/>
    <col min="14598" max="14598" width="7.875" style="1637" customWidth="1"/>
    <col min="14599" max="14600" width="13.875" style="1637" customWidth="1"/>
    <col min="14601" max="14601" width="19.125" style="1637" customWidth="1"/>
    <col min="14602" max="14602" width="9" style="1637" customWidth="1"/>
    <col min="14603" max="14603" width="36" style="1637" customWidth="1"/>
    <col min="14604" max="14604" width="10.625" style="1637" customWidth="1"/>
    <col min="14605" max="14606" width="14.375" style="1637" customWidth="1"/>
    <col min="14607" max="14607" width="6.25" style="1637" customWidth="1"/>
    <col min="14608" max="14608" width="7.875" style="1637" customWidth="1"/>
    <col min="14609" max="14848" width="9" style="1637"/>
    <col min="14849" max="14849" width="36" style="1637" customWidth="1"/>
    <col min="14850" max="14850" width="6.25" style="1637" customWidth="1"/>
    <col min="14851" max="14851" width="11.75" style="1637" customWidth="1"/>
    <col min="14852" max="14852" width="6.25" style="1637" customWidth="1"/>
    <col min="14853" max="14853" width="36" style="1637" customWidth="1"/>
    <col min="14854" max="14854" width="7.875" style="1637" customWidth="1"/>
    <col min="14855" max="14856" width="13.875" style="1637" customWidth="1"/>
    <col min="14857" max="14857" width="19.125" style="1637" customWidth="1"/>
    <col min="14858" max="14858" width="9" style="1637" customWidth="1"/>
    <col min="14859" max="14859" width="36" style="1637" customWidth="1"/>
    <col min="14860" max="14860" width="10.625" style="1637" customWidth="1"/>
    <col min="14861" max="14862" width="14.375" style="1637" customWidth="1"/>
    <col min="14863" max="14863" width="6.25" style="1637" customWidth="1"/>
    <col min="14864" max="14864" width="7.875" style="1637" customWidth="1"/>
    <col min="14865" max="15104" width="9" style="1637"/>
    <col min="15105" max="15105" width="36" style="1637" customWidth="1"/>
    <col min="15106" max="15106" width="6.25" style="1637" customWidth="1"/>
    <col min="15107" max="15107" width="11.75" style="1637" customWidth="1"/>
    <col min="15108" max="15108" width="6.25" style="1637" customWidth="1"/>
    <col min="15109" max="15109" width="36" style="1637" customWidth="1"/>
    <col min="15110" max="15110" width="7.875" style="1637" customWidth="1"/>
    <col min="15111" max="15112" width="13.875" style="1637" customWidth="1"/>
    <col min="15113" max="15113" width="19.125" style="1637" customWidth="1"/>
    <col min="15114" max="15114" width="9" style="1637" customWidth="1"/>
    <col min="15115" max="15115" width="36" style="1637" customWidth="1"/>
    <col min="15116" max="15116" width="10.625" style="1637" customWidth="1"/>
    <col min="15117" max="15118" width="14.375" style="1637" customWidth="1"/>
    <col min="15119" max="15119" width="6.25" style="1637" customWidth="1"/>
    <col min="15120" max="15120" width="7.875" style="1637" customWidth="1"/>
    <col min="15121" max="15360" width="9" style="1637"/>
    <col min="15361" max="15361" width="36" style="1637" customWidth="1"/>
    <col min="15362" max="15362" width="6.25" style="1637" customWidth="1"/>
    <col min="15363" max="15363" width="11.75" style="1637" customWidth="1"/>
    <col min="15364" max="15364" width="6.25" style="1637" customWidth="1"/>
    <col min="15365" max="15365" width="36" style="1637" customWidth="1"/>
    <col min="15366" max="15366" width="7.875" style="1637" customWidth="1"/>
    <col min="15367" max="15368" width="13.875" style="1637" customWidth="1"/>
    <col min="15369" max="15369" width="19.125" style="1637" customWidth="1"/>
    <col min="15370" max="15370" width="9" style="1637" customWidth="1"/>
    <col min="15371" max="15371" width="36" style="1637" customWidth="1"/>
    <col min="15372" max="15372" width="10.625" style="1637" customWidth="1"/>
    <col min="15373" max="15374" width="14.375" style="1637" customWidth="1"/>
    <col min="15375" max="15375" width="6.25" style="1637" customWidth="1"/>
    <col min="15376" max="15376" width="7.875" style="1637" customWidth="1"/>
    <col min="15377" max="15616" width="9" style="1637"/>
    <col min="15617" max="15617" width="36" style="1637" customWidth="1"/>
    <col min="15618" max="15618" width="6.25" style="1637" customWidth="1"/>
    <col min="15619" max="15619" width="11.75" style="1637" customWidth="1"/>
    <col min="15620" max="15620" width="6.25" style="1637" customWidth="1"/>
    <col min="15621" max="15621" width="36" style="1637" customWidth="1"/>
    <col min="15622" max="15622" width="7.875" style="1637" customWidth="1"/>
    <col min="15623" max="15624" width="13.875" style="1637" customWidth="1"/>
    <col min="15625" max="15625" width="19.125" style="1637" customWidth="1"/>
    <col min="15626" max="15626" width="9" style="1637" customWidth="1"/>
    <col min="15627" max="15627" width="36" style="1637" customWidth="1"/>
    <col min="15628" max="15628" width="10.625" style="1637" customWidth="1"/>
    <col min="15629" max="15630" width="14.375" style="1637" customWidth="1"/>
    <col min="15631" max="15631" width="6.25" style="1637" customWidth="1"/>
    <col min="15632" max="15632" width="7.875" style="1637" customWidth="1"/>
    <col min="15633" max="15872" width="9" style="1637"/>
    <col min="15873" max="15873" width="36" style="1637" customWidth="1"/>
    <col min="15874" max="15874" width="6.25" style="1637" customWidth="1"/>
    <col min="15875" max="15875" width="11.75" style="1637" customWidth="1"/>
    <col min="15876" max="15876" width="6.25" style="1637" customWidth="1"/>
    <col min="15877" max="15877" width="36" style="1637" customWidth="1"/>
    <col min="15878" max="15878" width="7.875" style="1637" customWidth="1"/>
    <col min="15879" max="15880" width="13.875" style="1637" customWidth="1"/>
    <col min="15881" max="15881" width="19.125" style="1637" customWidth="1"/>
    <col min="15882" max="15882" width="9" style="1637" customWidth="1"/>
    <col min="15883" max="15883" width="36" style="1637" customWidth="1"/>
    <col min="15884" max="15884" width="10.625" style="1637" customWidth="1"/>
    <col min="15885" max="15886" width="14.375" style="1637" customWidth="1"/>
    <col min="15887" max="15887" width="6.25" style="1637" customWidth="1"/>
    <col min="15888" max="15888" width="7.875" style="1637" customWidth="1"/>
    <col min="15889" max="16128" width="9" style="1637"/>
    <col min="16129" max="16129" width="36" style="1637" customWidth="1"/>
    <col min="16130" max="16130" width="6.25" style="1637" customWidth="1"/>
    <col min="16131" max="16131" width="11.75" style="1637" customWidth="1"/>
    <col min="16132" max="16132" width="6.25" style="1637" customWidth="1"/>
    <col min="16133" max="16133" width="36" style="1637" customWidth="1"/>
    <col min="16134" max="16134" width="7.875" style="1637" customWidth="1"/>
    <col min="16135" max="16136" width="13.875" style="1637" customWidth="1"/>
    <col min="16137" max="16137" width="19.125" style="1637" customWidth="1"/>
    <col min="16138" max="16138" width="9" style="1637" customWidth="1"/>
    <col min="16139" max="16139" width="36" style="1637" customWidth="1"/>
    <col min="16140" max="16140" width="10.625" style="1637" customWidth="1"/>
    <col min="16141" max="16142" width="14.375" style="1637" customWidth="1"/>
    <col min="16143" max="16143" width="6.25" style="1637" customWidth="1"/>
    <col min="16144" max="16144" width="7.875" style="1637" customWidth="1"/>
    <col min="16145" max="16384" width="9" style="1637"/>
  </cols>
  <sheetData>
    <row r="1" spans="1:16">
      <c r="A1" s="1637" t="s">
        <v>3049</v>
      </c>
      <c r="B1" s="1637" t="s">
        <v>3050</v>
      </c>
      <c r="C1" s="1637" t="s">
        <v>3051</v>
      </c>
      <c r="D1" s="1637" t="s">
        <v>3052</v>
      </c>
      <c r="E1" s="1637" t="s">
        <v>3053</v>
      </c>
      <c r="F1" s="1637" t="s">
        <v>3054</v>
      </c>
      <c r="G1" s="1637" t="s">
        <v>3055</v>
      </c>
      <c r="H1" s="1637" t="s">
        <v>3056</v>
      </c>
      <c r="I1" s="1637" t="s">
        <v>3057</v>
      </c>
      <c r="J1" s="1637" t="s">
        <v>3058</v>
      </c>
      <c r="K1" s="1637" t="s">
        <v>3059</v>
      </c>
      <c r="L1" s="1637" t="s">
        <v>3060</v>
      </c>
      <c r="M1" s="1637" t="s">
        <v>3061</v>
      </c>
      <c r="N1" s="2949" t="s">
        <v>3227</v>
      </c>
      <c r="O1" s="1637" t="s">
        <v>3062</v>
      </c>
      <c r="P1" s="1637" t="s">
        <v>3063</v>
      </c>
    </row>
    <row r="2" spans="1:16" s="2948" customFormat="1" ht="12.75">
      <c r="A2" s="2948" t="s">
        <v>3064</v>
      </c>
      <c r="B2" s="2948" t="s">
        <v>3065</v>
      </c>
      <c r="C2" s="2948" t="s">
        <v>3066</v>
      </c>
      <c r="D2" s="2948" t="s">
        <v>3067</v>
      </c>
      <c r="E2" s="2948" t="s">
        <v>3064</v>
      </c>
      <c r="F2" s="2948" t="s">
        <v>3068</v>
      </c>
      <c r="G2" s="2948">
        <v>2400</v>
      </c>
      <c r="H2" s="2948">
        <v>1200</v>
      </c>
      <c r="I2" s="2948" t="s">
        <v>3069</v>
      </c>
      <c r="J2" s="2948" t="s">
        <v>3070</v>
      </c>
      <c r="K2" s="2948" t="s">
        <v>3071</v>
      </c>
      <c r="L2" s="2948">
        <v>317</v>
      </c>
      <c r="M2" s="2948">
        <v>2641.67</v>
      </c>
      <c r="N2" s="2948">
        <f t="shared" ref="N2:N33" si="0">ROUND(L2/G2*10000,0)</f>
        <v>1321</v>
      </c>
      <c r="O2" s="2948">
        <v>8.56</v>
      </c>
      <c r="P2" s="2948" t="s">
        <v>3072</v>
      </c>
    </row>
    <row r="3" spans="1:16">
      <c r="A3" s="1637" t="s">
        <v>3080</v>
      </c>
      <c r="B3" s="1637" t="s">
        <v>3065</v>
      </c>
      <c r="C3" s="1637" t="s">
        <v>3066</v>
      </c>
      <c r="D3" s="1637" t="s">
        <v>3067</v>
      </c>
      <c r="E3" s="1637" t="s">
        <v>3080</v>
      </c>
      <c r="F3" s="1637" t="s">
        <v>3068</v>
      </c>
      <c r="G3" s="1637">
        <v>75517</v>
      </c>
      <c r="H3" s="1637">
        <v>166137.4</v>
      </c>
      <c r="I3" s="1637" t="s">
        <v>3081</v>
      </c>
      <c r="J3" s="1637" t="s">
        <v>3075</v>
      </c>
      <c r="K3" s="1637" t="s">
        <v>3082</v>
      </c>
      <c r="L3" s="1637">
        <v>23335</v>
      </c>
      <c r="M3" s="1637">
        <v>1404.55</v>
      </c>
      <c r="N3" s="1637">
        <f t="shared" si="0"/>
        <v>3090</v>
      </c>
      <c r="O3" s="1637">
        <v>0</v>
      </c>
      <c r="P3" s="1637" t="s">
        <v>3072</v>
      </c>
    </row>
    <row r="4" spans="1:16">
      <c r="A4" s="1637" t="s">
        <v>3073</v>
      </c>
      <c r="B4" s="1637" t="s">
        <v>3065</v>
      </c>
      <c r="C4" s="1637" t="s">
        <v>3066</v>
      </c>
      <c r="D4" s="1637" t="s">
        <v>3067</v>
      </c>
      <c r="E4" s="1637" t="s">
        <v>3073</v>
      </c>
      <c r="F4" s="1637" t="s">
        <v>3068</v>
      </c>
      <c r="G4" s="1637">
        <v>21184</v>
      </c>
      <c r="H4" s="1637">
        <v>33894.400000000001</v>
      </c>
      <c r="I4" s="1637" t="s">
        <v>3074</v>
      </c>
      <c r="J4" s="1637" t="s">
        <v>3075</v>
      </c>
      <c r="K4" s="1637" t="s">
        <v>3076</v>
      </c>
      <c r="L4" s="1637">
        <v>5974</v>
      </c>
      <c r="M4" s="1637">
        <v>1762.52</v>
      </c>
      <c r="N4" s="1637">
        <f t="shared" si="0"/>
        <v>2820</v>
      </c>
      <c r="O4" s="1637">
        <v>0</v>
      </c>
      <c r="P4" s="1637" t="s">
        <v>3072</v>
      </c>
    </row>
    <row r="5" spans="1:16">
      <c r="A5" s="2953" t="s">
        <v>3077</v>
      </c>
      <c r="B5" s="2953" t="s">
        <v>3065</v>
      </c>
      <c r="C5" s="2953" t="s">
        <v>3066</v>
      </c>
      <c r="D5" s="2953" t="s">
        <v>3067</v>
      </c>
      <c r="E5" s="2953" t="s">
        <v>3077</v>
      </c>
      <c r="F5" s="2953" t="s">
        <v>3068</v>
      </c>
      <c r="G5" s="2953">
        <v>4265</v>
      </c>
      <c r="H5" s="2953">
        <v>5118</v>
      </c>
      <c r="I5" s="2953" t="s">
        <v>3078</v>
      </c>
      <c r="J5" s="2953" t="s">
        <v>3075</v>
      </c>
      <c r="K5" s="2953" t="s">
        <v>3079</v>
      </c>
      <c r="L5" s="2953">
        <v>512</v>
      </c>
      <c r="M5" s="2953">
        <v>1000.38</v>
      </c>
      <c r="N5" s="2953">
        <f t="shared" si="0"/>
        <v>1200</v>
      </c>
      <c r="O5" s="2953">
        <v>0</v>
      </c>
      <c r="P5" s="2953" t="s">
        <v>3072</v>
      </c>
    </row>
    <row r="6" spans="1:16" s="2950" customFormat="1">
      <c r="A6" s="1637" t="s">
        <v>3087</v>
      </c>
      <c r="B6" s="1637" t="s">
        <v>3065</v>
      </c>
      <c r="C6" s="1637" t="s">
        <v>3066</v>
      </c>
      <c r="D6" s="1637" t="s">
        <v>3067</v>
      </c>
      <c r="E6" s="1637" t="s">
        <v>3087</v>
      </c>
      <c r="F6" s="1637" t="s">
        <v>3068</v>
      </c>
      <c r="G6" s="1637">
        <v>2420</v>
      </c>
      <c r="H6" s="1637">
        <v>6050</v>
      </c>
      <c r="I6" s="1637" t="s">
        <v>3088</v>
      </c>
      <c r="J6" s="1637" t="s">
        <v>3085</v>
      </c>
      <c r="K6" s="1637" t="s">
        <v>3089</v>
      </c>
      <c r="L6" s="1637">
        <v>1037</v>
      </c>
      <c r="M6" s="1637">
        <v>1714.04</v>
      </c>
      <c r="N6" s="1637">
        <f t="shared" si="0"/>
        <v>4285</v>
      </c>
      <c r="O6" s="1637">
        <v>0</v>
      </c>
      <c r="P6" s="1637" t="s">
        <v>3072</v>
      </c>
    </row>
    <row r="7" spans="1:16">
      <c r="A7" s="1637" t="s">
        <v>3092</v>
      </c>
      <c r="B7" s="1637" t="s">
        <v>3065</v>
      </c>
      <c r="C7" s="1637" t="s">
        <v>3066</v>
      </c>
      <c r="D7" s="1637" t="s">
        <v>3067</v>
      </c>
      <c r="E7" s="1637" t="s">
        <v>3092</v>
      </c>
      <c r="F7" s="1637" t="s">
        <v>3068</v>
      </c>
      <c r="G7" s="1637">
        <v>12000</v>
      </c>
      <c r="H7" s="1637">
        <v>24000</v>
      </c>
      <c r="I7" s="1637" t="s">
        <v>3093</v>
      </c>
      <c r="J7" s="1637" t="s">
        <v>3085</v>
      </c>
      <c r="K7" s="1637" t="s">
        <v>3094</v>
      </c>
      <c r="L7" s="1637">
        <v>1440</v>
      </c>
      <c r="M7" s="1637">
        <v>600</v>
      </c>
      <c r="N7" s="1637">
        <f t="shared" si="0"/>
        <v>1200</v>
      </c>
      <c r="O7" s="1637">
        <v>0</v>
      </c>
      <c r="P7" s="1637" t="s">
        <v>3072</v>
      </c>
    </row>
    <row r="8" spans="1:16">
      <c r="A8" s="1637" t="s">
        <v>3090</v>
      </c>
      <c r="B8" s="1637" t="s">
        <v>3065</v>
      </c>
      <c r="C8" s="1637" t="s">
        <v>3066</v>
      </c>
      <c r="D8" s="1637" t="s">
        <v>3067</v>
      </c>
      <c r="E8" s="1637" t="s">
        <v>3090</v>
      </c>
      <c r="F8" s="1637" t="s">
        <v>3068</v>
      </c>
      <c r="G8" s="1637">
        <v>24749</v>
      </c>
      <c r="H8" s="1637">
        <v>29698.799999999999</v>
      </c>
      <c r="I8" s="1637" t="s">
        <v>3078</v>
      </c>
      <c r="J8" s="1637" t="s">
        <v>3085</v>
      </c>
      <c r="K8" s="1637" t="s">
        <v>3091</v>
      </c>
      <c r="L8" s="1637">
        <v>1857</v>
      </c>
      <c r="M8" s="1637">
        <v>625.27</v>
      </c>
      <c r="N8" s="1637">
        <f t="shared" si="0"/>
        <v>750</v>
      </c>
      <c r="O8" s="1637">
        <v>0</v>
      </c>
      <c r="P8" s="1637" t="s">
        <v>3072</v>
      </c>
    </row>
    <row r="9" spans="1:16">
      <c r="A9" s="1637" t="s">
        <v>3083</v>
      </c>
      <c r="B9" s="1637" t="s">
        <v>3065</v>
      </c>
      <c r="C9" s="1637" t="s">
        <v>3066</v>
      </c>
      <c r="D9" s="1637" t="s">
        <v>3067</v>
      </c>
      <c r="E9" s="1637" t="s">
        <v>3083</v>
      </c>
      <c r="F9" s="1637" t="s">
        <v>3068</v>
      </c>
      <c r="G9" s="1637">
        <v>2234</v>
      </c>
      <c r="H9" s="1637">
        <v>4468</v>
      </c>
      <c r="I9" s="1637" t="s">
        <v>3084</v>
      </c>
      <c r="J9" s="1637" t="s">
        <v>3085</v>
      </c>
      <c r="K9" s="1637" t="s">
        <v>3086</v>
      </c>
      <c r="L9" s="1637">
        <v>88</v>
      </c>
      <c r="M9" s="1637">
        <v>196.96</v>
      </c>
      <c r="N9" s="1637">
        <f t="shared" si="0"/>
        <v>394</v>
      </c>
      <c r="O9" s="1637">
        <v>0</v>
      </c>
      <c r="P9" s="1637" t="s">
        <v>3072</v>
      </c>
    </row>
    <row r="10" spans="1:16" s="2950" customFormat="1">
      <c r="A10" s="1637" t="s">
        <v>3095</v>
      </c>
      <c r="B10" s="1637" t="s">
        <v>3065</v>
      </c>
      <c r="C10" s="1637" t="s">
        <v>3066</v>
      </c>
      <c r="D10" s="1637" t="s">
        <v>3067</v>
      </c>
      <c r="E10" s="1637" t="s">
        <v>3095</v>
      </c>
      <c r="F10" s="1637" t="s">
        <v>3068</v>
      </c>
      <c r="G10" s="1637">
        <v>7295</v>
      </c>
      <c r="H10" s="1637">
        <v>14590</v>
      </c>
      <c r="I10" s="1637" t="s">
        <v>3093</v>
      </c>
      <c r="J10" s="1637" t="s">
        <v>3096</v>
      </c>
      <c r="K10" s="1637" t="s">
        <v>3097</v>
      </c>
      <c r="L10" s="1637">
        <v>615</v>
      </c>
      <c r="M10" s="1637">
        <v>421.51</v>
      </c>
      <c r="N10" s="1637">
        <f t="shared" si="0"/>
        <v>843</v>
      </c>
      <c r="O10" s="1637">
        <v>0</v>
      </c>
      <c r="P10" s="1637" t="s">
        <v>3072</v>
      </c>
    </row>
    <row r="11" spans="1:16">
      <c r="A11" s="1637" t="s">
        <v>3098</v>
      </c>
      <c r="B11" s="1637" t="s">
        <v>3065</v>
      </c>
      <c r="C11" s="1637" t="s">
        <v>3066</v>
      </c>
      <c r="D11" s="1637" t="s">
        <v>3067</v>
      </c>
      <c r="E11" s="1637" t="s">
        <v>3098</v>
      </c>
      <c r="F11" s="1637" t="s">
        <v>3068</v>
      </c>
      <c r="G11" s="1637">
        <v>6419</v>
      </c>
      <c r="H11" s="1637">
        <v>16047.5</v>
      </c>
      <c r="I11" s="1637" t="s">
        <v>3088</v>
      </c>
      <c r="J11" s="1637" t="s">
        <v>3096</v>
      </c>
      <c r="K11" s="1637" t="s">
        <v>3099</v>
      </c>
      <c r="L11" s="1637">
        <v>296</v>
      </c>
      <c r="M11" s="1637">
        <v>184.44</v>
      </c>
      <c r="N11" s="1637">
        <f t="shared" si="0"/>
        <v>461</v>
      </c>
      <c r="O11" s="1637">
        <v>0</v>
      </c>
      <c r="P11" s="1637" t="s">
        <v>3072</v>
      </c>
    </row>
    <row r="12" spans="1:16">
      <c r="A12" s="1637" t="s">
        <v>3100</v>
      </c>
      <c r="B12" s="1637" t="s">
        <v>3065</v>
      </c>
      <c r="C12" s="1637" t="s">
        <v>3066</v>
      </c>
      <c r="D12" s="1637" t="s">
        <v>3067</v>
      </c>
      <c r="E12" s="1637" t="s">
        <v>3100</v>
      </c>
      <c r="F12" s="1637" t="s">
        <v>3068</v>
      </c>
      <c r="G12" s="1637">
        <v>3518</v>
      </c>
      <c r="H12" s="1637">
        <v>4221.6000000000004</v>
      </c>
      <c r="I12" s="1637" t="s">
        <v>3078</v>
      </c>
      <c r="J12" s="1637" t="s">
        <v>3101</v>
      </c>
      <c r="K12" s="1637" t="s">
        <v>3102</v>
      </c>
      <c r="L12" s="1637">
        <v>259</v>
      </c>
      <c r="M12" s="1637">
        <v>613.5</v>
      </c>
      <c r="N12" s="1637">
        <f t="shared" si="0"/>
        <v>736</v>
      </c>
      <c r="O12" s="1637">
        <v>0</v>
      </c>
      <c r="P12" s="1637" t="s">
        <v>3072</v>
      </c>
    </row>
    <row r="13" spans="1:16">
      <c r="A13" s="1637" t="s">
        <v>3107</v>
      </c>
      <c r="B13" s="1637" t="s">
        <v>3065</v>
      </c>
      <c r="C13" s="1637" t="s">
        <v>3066</v>
      </c>
      <c r="D13" s="1637" t="s">
        <v>3067</v>
      </c>
      <c r="E13" s="1637" t="s">
        <v>3107</v>
      </c>
      <c r="F13" s="1637" t="s">
        <v>3068</v>
      </c>
      <c r="G13" s="1637">
        <v>15987</v>
      </c>
      <c r="H13" s="1637">
        <v>55954.5</v>
      </c>
      <c r="I13" s="1637" t="s">
        <v>3108</v>
      </c>
      <c r="J13" s="1637" t="s">
        <v>3105</v>
      </c>
      <c r="K13" s="1637" t="s">
        <v>3109</v>
      </c>
      <c r="L13" s="1637">
        <v>2157</v>
      </c>
      <c r="M13" s="1637">
        <v>385.49</v>
      </c>
      <c r="N13" s="1637">
        <f t="shared" si="0"/>
        <v>1349</v>
      </c>
      <c r="O13" s="1637">
        <v>0</v>
      </c>
      <c r="P13" s="1637" t="s">
        <v>3072</v>
      </c>
    </row>
    <row r="14" spans="1:16" s="2951" customFormat="1">
      <c r="A14" s="2950" t="s">
        <v>3103</v>
      </c>
      <c r="B14" s="2950" t="s">
        <v>3065</v>
      </c>
      <c r="C14" s="2950" t="s">
        <v>3066</v>
      </c>
      <c r="D14" s="2950" t="s">
        <v>3067</v>
      </c>
      <c r="E14" s="2950" t="s">
        <v>3103</v>
      </c>
      <c r="F14" s="2950" t="s">
        <v>3068</v>
      </c>
      <c r="G14" s="2950">
        <v>60105</v>
      </c>
      <c r="H14" s="2950">
        <v>66115.5</v>
      </c>
      <c r="I14" s="2950" t="s">
        <v>3104</v>
      </c>
      <c r="J14" s="2950" t="s">
        <v>3105</v>
      </c>
      <c r="K14" s="2950" t="s">
        <v>3106</v>
      </c>
      <c r="L14" s="2950">
        <v>6318</v>
      </c>
      <c r="M14" s="2950">
        <v>955.6</v>
      </c>
      <c r="N14" s="2950">
        <f t="shared" si="0"/>
        <v>1051</v>
      </c>
      <c r="O14" s="2950">
        <v>0</v>
      </c>
      <c r="P14" s="2950" t="s">
        <v>3072</v>
      </c>
    </row>
    <row r="15" spans="1:16" s="2953" customFormat="1">
      <c r="A15" s="1637" t="s">
        <v>3110</v>
      </c>
      <c r="B15" s="1637" t="s">
        <v>3065</v>
      </c>
      <c r="C15" s="1637" t="s">
        <v>3066</v>
      </c>
      <c r="D15" s="1637" t="s">
        <v>3067</v>
      </c>
      <c r="E15" s="1637" t="s">
        <v>3110</v>
      </c>
      <c r="F15" s="1637" t="s">
        <v>3068</v>
      </c>
      <c r="G15" s="1637">
        <v>192335</v>
      </c>
      <c r="H15" s="1637">
        <v>173101.5</v>
      </c>
      <c r="I15" s="1637" t="s">
        <v>3111</v>
      </c>
      <c r="J15" s="1637" t="s">
        <v>3105</v>
      </c>
      <c r="K15" s="1637" t="s">
        <v>3112</v>
      </c>
      <c r="L15" s="1637">
        <v>10964</v>
      </c>
      <c r="M15" s="1637">
        <v>633.38</v>
      </c>
      <c r="N15" s="1637">
        <f t="shared" si="0"/>
        <v>570</v>
      </c>
      <c r="O15" s="1637">
        <v>0</v>
      </c>
      <c r="P15" s="1637" t="s">
        <v>3072</v>
      </c>
    </row>
    <row r="16" spans="1:16">
      <c r="A16" s="1637" t="s">
        <v>3116</v>
      </c>
      <c r="B16" s="1637" t="s">
        <v>3065</v>
      </c>
      <c r="C16" s="1637" t="s">
        <v>3066</v>
      </c>
      <c r="D16" s="1637" t="s">
        <v>3067</v>
      </c>
      <c r="E16" s="1637" t="s">
        <v>3116</v>
      </c>
      <c r="F16" s="1637" t="s">
        <v>3068</v>
      </c>
      <c r="G16" s="1637">
        <v>2030</v>
      </c>
      <c r="H16" s="1637">
        <v>5075</v>
      </c>
      <c r="I16" s="1637" t="s">
        <v>3117</v>
      </c>
      <c r="J16" s="1637" t="s">
        <v>3114</v>
      </c>
      <c r="K16" s="1637" t="s">
        <v>3118</v>
      </c>
      <c r="L16" s="1637">
        <v>138</v>
      </c>
      <c r="M16" s="1637">
        <v>271.92</v>
      </c>
      <c r="N16" s="1637">
        <f t="shared" si="0"/>
        <v>680</v>
      </c>
      <c r="O16" s="1637">
        <v>0</v>
      </c>
      <c r="P16" s="1637" t="s">
        <v>3072</v>
      </c>
    </row>
    <row r="17" spans="1:16">
      <c r="A17" s="1637" t="s">
        <v>3113</v>
      </c>
      <c r="B17" s="1637" t="s">
        <v>3065</v>
      </c>
      <c r="C17" s="1637" t="s">
        <v>3066</v>
      </c>
      <c r="D17" s="1637" t="s">
        <v>3067</v>
      </c>
      <c r="E17" s="1637" t="s">
        <v>3113</v>
      </c>
      <c r="F17" s="1637" t="s">
        <v>3068</v>
      </c>
      <c r="G17" s="1637">
        <v>18767</v>
      </c>
      <c r="H17" s="1637">
        <v>65684.5</v>
      </c>
      <c r="I17" s="1637" t="s">
        <v>3108</v>
      </c>
      <c r="J17" s="1637" t="s">
        <v>3114</v>
      </c>
      <c r="K17" s="1637" t="s">
        <v>3115</v>
      </c>
      <c r="L17" s="1637">
        <v>1218</v>
      </c>
      <c r="M17" s="1637">
        <v>185.43</v>
      </c>
      <c r="N17" s="1637">
        <f t="shared" si="0"/>
        <v>649</v>
      </c>
      <c r="O17" s="1637">
        <v>0</v>
      </c>
      <c r="P17" s="1637" t="s">
        <v>3072</v>
      </c>
    </row>
    <row r="18" spans="1:16" s="2951" customFormat="1">
      <c r="A18" s="2950" t="s">
        <v>3119</v>
      </c>
      <c r="B18" s="2950" t="s">
        <v>3065</v>
      </c>
      <c r="C18" s="2950" t="s">
        <v>3066</v>
      </c>
      <c r="D18" s="2950" t="s">
        <v>3067</v>
      </c>
      <c r="E18" s="2950" t="s">
        <v>3119</v>
      </c>
      <c r="F18" s="2950" t="s">
        <v>3068</v>
      </c>
      <c r="G18" s="2950">
        <v>102565</v>
      </c>
      <c r="H18" s="2950">
        <v>153847.5</v>
      </c>
      <c r="I18" s="2950" t="s">
        <v>3120</v>
      </c>
      <c r="J18" s="2950" t="s">
        <v>3121</v>
      </c>
      <c r="K18" s="2950" t="s">
        <v>3122</v>
      </c>
      <c r="L18" s="2950">
        <v>10575</v>
      </c>
      <c r="M18" s="2950">
        <v>687.37</v>
      </c>
      <c r="N18" s="2950">
        <f t="shared" si="0"/>
        <v>1031</v>
      </c>
      <c r="O18" s="2950">
        <v>0</v>
      </c>
      <c r="P18" s="2950" t="s">
        <v>3072</v>
      </c>
    </row>
    <row r="19" spans="1:16" s="2950" customFormat="1">
      <c r="A19" s="1637" t="s">
        <v>3123</v>
      </c>
      <c r="B19" s="1637" t="s">
        <v>3065</v>
      </c>
      <c r="C19" s="1637" t="s">
        <v>3066</v>
      </c>
      <c r="D19" s="1637" t="s">
        <v>3067</v>
      </c>
      <c r="E19" s="1637" t="s">
        <v>3123</v>
      </c>
      <c r="F19" s="1637" t="s">
        <v>3068</v>
      </c>
      <c r="G19" s="1637">
        <v>30610</v>
      </c>
      <c r="H19" s="1637">
        <v>61220</v>
      </c>
      <c r="I19" s="1637" t="s">
        <v>3084</v>
      </c>
      <c r="J19" s="1637" t="s">
        <v>3124</v>
      </c>
      <c r="K19" s="1637" t="s">
        <v>3125</v>
      </c>
      <c r="L19" s="1637">
        <v>3132</v>
      </c>
      <c r="M19" s="1637">
        <v>511.6</v>
      </c>
      <c r="N19" s="1637">
        <f t="shared" si="0"/>
        <v>1023</v>
      </c>
      <c r="O19" s="1637">
        <v>0</v>
      </c>
      <c r="P19" s="1637" t="s">
        <v>3072</v>
      </c>
    </row>
    <row r="20" spans="1:16" s="2950" customFormat="1">
      <c r="A20" s="1637" t="s">
        <v>3126</v>
      </c>
      <c r="B20" s="1637" t="s">
        <v>3065</v>
      </c>
      <c r="C20" s="1637" t="s">
        <v>3066</v>
      </c>
      <c r="D20" s="1637" t="s">
        <v>3067</v>
      </c>
      <c r="E20" s="1637" t="s">
        <v>3126</v>
      </c>
      <c r="F20" s="1637" t="s">
        <v>3068</v>
      </c>
      <c r="G20" s="1637">
        <v>25747</v>
      </c>
      <c r="H20" s="1637">
        <v>64367.5</v>
      </c>
      <c r="I20" s="1637" t="s">
        <v>3088</v>
      </c>
      <c r="J20" s="1637" t="s">
        <v>3127</v>
      </c>
      <c r="K20" s="1637" t="s">
        <v>3128</v>
      </c>
      <c r="L20" s="1637">
        <v>3263</v>
      </c>
      <c r="M20" s="1637">
        <v>506.93</v>
      </c>
      <c r="N20" s="1637">
        <f t="shared" si="0"/>
        <v>1267</v>
      </c>
      <c r="O20" s="1637">
        <v>0</v>
      </c>
      <c r="P20" s="1637" t="s">
        <v>3072</v>
      </c>
    </row>
    <row r="21" spans="1:16">
      <c r="A21" s="1637" t="s">
        <v>3132</v>
      </c>
      <c r="B21" s="1637" t="s">
        <v>3065</v>
      </c>
      <c r="C21" s="1637" t="s">
        <v>3066</v>
      </c>
      <c r="D21" s="1637" t="s">
        <v>3067</v>
      </c>
      <c r="E21" s="1637" t="s">
        <v>3132</v>
      </c>
      <c r="F21" s="1637" t="s">
        <v>3068</v>
      </c>
      <c r="G21" s="1637">
        <v>18991</v>
      </c>
      <c r="H21" s="1637">
        <v>47477.5</v>
      </c>
      <c r="I21" s="1637" t="s">
        <v>3088</v>
      </c>
      <c r="J21" s="1637" t="s">
        <v>3127</v>
      </c>
      <c r="K21" s="1637" t="s">
        <v>3128</v>
      </c>
      <c r="L21" s="1637">
        <v>2407</v>
      </c>
      <c r="M21" s="1637">
        <v>506.98</v>
      </c>
      <c r="N21" s="1637">
        <f t="shared" si="0"/>
        <v>1267</v>
      </c>
      <c r="O21" s="1637">
        <v>0</v>
      </c>
      <c r="P21" s="1637" t="s">
        <v>3072</v>
      </c>
    </row>
    <row r="22" spans="1:16">
      <c r="A22" s="1637" t="s">
        <v>3133</v>
      </c>
      <c r="B22" s="1637" t="s">
        <v>3065</v>
      </c>
      <c r="C22" s="1637" t="s">
        <v>3066</v>
      </c>
      <c r="D22" s="1637" t="s">
        <v>3067</v>
      </c>
      <c r="E22" s="1637" t="s">
        <v>3133</v>
      </c>
      <c r="F22" s="1637" t="s">
        <v>3068</v>
      </c>
      <c r="G22" s="1637">
        <v>28205</v>
      </c>
      <c r="H22" s="1637">
        <v>70512.5</v>
      </c>
      <c r="I22" s="1637" t="s">
        <v>3088</v>
      </c>
      <c r="J22" s="1637" t="s">
        <v>3127</v>
      </c>
      <c r="K22" s="1637" t="s">
        <v>3128</v>
      </c>
      <c r="L22" s="1637">
        <v>3574</v>
      </c>
      <c r="M22" s="1637">
        <v>506.86</v>
      </c>
      <c r="N22" s="1637">
        <f t="shared" si="0"/>
        <v>1267</v>
      </c>
      <c r="O22" s="1637">
        <v>0</v>
      </c>
      <c r="P22" s="1637" t="s">
        <v>3072</v>
      </c>
    </row>
    <row r="23" spans="1:16">
      <c r="A23" s="1637" t="s">
        <v>3129</v>
      </c>
      <c r="B23" s="1637" t="s">
        <v>3065</v>
      </c>
      <c r="C23" s="1637" t="s">
        <v>3066</v>
      </c>
      <c r="D23" s="1637" t="s">
        <v>3067</v>
      </c>
      <c r="E23" s="1637" t="s">
        <v>3129</v>
      </c>
      <c r="F23" s="1637" t="s">
        <v>3068</v>
      </c>
      <c r="G23" s="1637">
        <v>866</v>
      </c>
      <c r="H23" s="1637">
        <v>1299</v>
      </c>
      <c r="I23" s="1637" t="s">
        <v>3130</v>
      </c>
      <c r="J23" s="1637" t="s">
        <v>3127</v>
      </c>
      <c r="K23" s="1637" t="s">
        <v>3131</v>
      </c>
      <c r="L23" s="1637">
        <v>47</v>
      </c>
      <c r="M23" s="1637">
        <v>361.81</v>
      </c>
      <c r="N23" s="1637">
        <f t="shared" si="0"/>
        <v>543</v>
      </c>
      <c r="O23" s="1637">
        <v>0</v>
      </c>
      <c r="P23" s="1637" t="s">
        <v>3072</v>
      </c>
    </row>
    <row r="24" spans="1:16">
      <c r="A24" s="1637" t="s">
        <v>3134</v>
      </c>
      <c r="B24" s="1637" t="s">
        <v>3065</v>
      </c>
      <c r="C24" s="1637" t="s">
        <v>3066</v>
      </c>
      <c r="D24" s="1637" t="s">
        <v>3067</v>
      </c>
      <c r="E24" s="1637" t="s">
        <v>3134</v>
      </c>
      <c r="F24" s="1637" t="s">
        <v>3068</v>
      </c>
      <c r="G24" s="1637">
        <v>3738</v>
      </c>
      <c r="H24" s="1637">
        <v>4485.6000000000004</v>
      </c>
      <c r="I24" s="1637" t="s">
        <v>3078</v>
      </c>
      <c r="J24" s="1637" t="s">
        <v>3135</v>
      </c>
      <c r="K24" s="1637" t="s">
        <v>3136</v>
      </c>
      <c r="L24" s="1637">
        <v>292</v>
      </c>
      <c r="M24" s="1637">
        <v>650.97</v>
      </c>
      <c r="N24" s="1637">
        <f t="shared" si="0"/>
        <v>781</v>
      </c>
      <c r="O24" s="1637">
        <v>0</v>
      </c>
      <c r="P24" s="1637" t="s">
        <v>3072</v>
      </c>
    </row>
    <row r="25" spans="1:16">
      <c r="A25" s="1637" t="s">
        <v>3140</v>
      </c>
      <c r="B25" s="1637" t="s">
        <v>3065</v>
      </c>
      <c r="C25" s="1637" t="s">
        <v>3066</v>
      </c>
      <c r="D25" s="1637" t="s">
        <v>3067</v>
      </c>
      <c r="E25" s="1637" t="s">
        <v>3140</v>
      </c>
      <c r="F25" s="1637" t="s">
        <v>3068</v>
      </c>
      <c r="G25" s="1637">
        <v>31678</v>
      </c>
      <c r="H25" s="1637">
        <v>31678</v>
      </c>
      <c r="I25" s="1637" t="s">
        <v>3141</v>
      </c>
      <c r="J25" s="1637" t="s">
        <v>3138</v>
      </c>
      <c r="K25" s="1637" t="s">
        <v>3142</v>
      </c>
      <c r="L25" s="1637">
        <v>2855</v>
      </c>
      <c r="M25" s="1637">
        <v>901.25</v>
      </c>
      <c r="N25" s="1637">
        <f t="shared" si="0"/>
        <v>901</v>
      </c>
      <c r="O25" s="1637">
        <v>0</v>
      </c>
      <c r="P25" s="1637" t="s">
        <v>3072</v>
      </c>
    </row>
    <row r="26" spans="1:16">
      <c r="A26" s="1637" t="s">
        <v>3143</v>
      </c>
      <c r="B26" s="1637" t="s">
        <v>3065</v>
      </c>
      <c r="C26" s="1637" t="s">
        <v>3066</v>
      </c>
      <c r="D26" s="1637" t="s">
        <v>3067</v>
      </c>
      <c r="E26" s="1637" t="s">
        <v>3143</v>
      </c>
      <c r="F26" s="1637" t="s">
        <v>3068</v>
      </c>
      <c r="G26" s="1637">
        <v>27744</v>
      </c>
      <c r="H26" s="1637">
        <v>55488</v>
      </c>
      <c r="I26" s="1637" t="s">
        <v>3084</v>
      </c>
      <c r="J26" s="1637" t="s">
        <v>3138</v>
      </c>
      <c r="K26" s="1637" t="s">
        <v>3144</v>
      </c>
      <c r="L26" s="1637">
        <v>1765</v>
      </c>
      <c r="M26" s="1637">
        <v>318.08</v>
      </c>
      <c r="N26" s="1637">
        <f t="shared" si="0"/>
        <v>636</v>
      </c>
      <c r="O26" s="1637">
        <v>0</v>
      </c>
      <c r="P26" s="1637" t="s">
        <v>3072</v>
      </c>
    </row>
    <row r="27" spans="1:16">
      <c r="A27" s="1637" t="s">
        <v>3137</v>
      </c>
      <c r="B27" s="1637" t="s">
        <v>3065</v>
      </c>
      <c r="C27" s="1637" t="s">
        <v>3066</v>
      </c>
      <c r="D27" s="1637" t="s">
        <v>3067</v>
      </c>
      <c r="E27" s="1637" t="s">
        <v>3137</v>
      </c>
      <c r="F27" s="1637" t="s">
        <v>3068</v>
      </c>
      <c r="G27" s="1637">
        <v>26257</v>
      </c>
      <c r="H27" s="1637">
        <v>31508.400000000001</v>
      </c>
      <c r="I27" s="1637" t="s">
        <v>3078</v>
      </c>
      <c r="J27" s="1637" t="s">
        <v>3138</v>
      </c>
      <c r="K27" s="1637" t="s">
        <v>3139</v>
      </c>
      <c r="L27" s="1637">
        <v>1523</v>
      </c>
      <c r="M27" s="1637">
        <v>483.36</v>
      </c>
      <c r="N27" s="1637">
        <f t="shared" si="0"/>
        <v>580</v>
      </c>
      <c r="O27" s="1637">
        <v>0</v>
      </c>
      <c r="P27" s="1637" t="s">
        <v>3072</v>
      </c>
    </row>
    <row r="28" spans="1:16">
      <c r="A28" s="1637" t="s">
        <v>3145</v>
      </c>
      <c r="B28" s="1637" t="s">
        <v>3065</v>
      </c>
      <c r="C28" s="1637" t="s">
        <v>3066</v>
      </c>
      <c r="D28" s="1637" t="s">
        <v>3067</v>
      </c>
      <c r="E28" s="1637" t="s">
        <v>3145</v>
      </c>
      <c r="F28" s="1637" t="s">
        <v>3068</v>
      </c>
      <c r="G28" s="1637">
        <v>10637</v>
      </c>
      <c r="H28" s="1637">
        <v>13828.1</v>
      </c>
      <c r="I28" s="1637" t="s">
        <v>3146</v>
      </c>
      <c r="J28" s="1637" t="s">
        <v>3147</v>
      </c>
      <c r="K28" s="1637" t="s">
        <v>3148</v>
      </c>
      <c r="L28" s="1637">
        <v>565</v>
      </c>
      <c r="M28" s="1637">
        <v>408.58</v>
      </c>
      <c r="N28" s="1637">
        <f t="shared" si="0"/>
        <v>531</v>
      </c>
      <c r="O28" s="1637">
        <v>0</v>
      </c>
      <c r="P28" s="1637" t="s">
        <v>3072</v>
      </c>
    </row>
    <row r="29" spans="1:16">
      <c r="A29" s="1637" t="s">
        <v>3153</v>
      </c>
      <c r="B29" s="1637" t="s">
        <v>3065</v>
      </c>
      <c r="C29" s="1637" t="s">
        <v>3066</v>
      </c>
      <c r="D29" s="1637" t="s">
        <v>3067</v>
      </c>
      <c r="E29" s="1637" t="s">
        <v>3153</v>
      </c>
      <c r="F29" s="1637" t="s">
        <v>3068</v>
      </c>
      <c r="G29" s="1637">
        <v>7315</v>
      </c>
      <c r="H29" s="1637">
        <v>35112</v>
      </c>
      <c r="I29" s="1637" t="s">
        <v>3154</v>
      </c>
      <c r="J29" s="1637" t="s">
        <v>3151</v>
      </c>
      <c r="K29" s="1637" t="s">
        <v>3152</v>
      </c>
      <c r="L29" s="1637">
        <v>997</v>
      </c>
      <c r="M29" s="1637">
        <v>283.94</v>
      </c>
      <c r="N29" s="1637">
        <f t="shared" si="0"/>
        <v>1363</v>
      </c>
      <c r="O29" s="1637">
        <v>0</v>
      </c>
      <c r="P29" s="1637" t="s">
        <v>3072</v>
      </c>
    </row>
    <row r="30" spans="1:16">
      <c r="A30" s="1637" t="s">
        <v>3149</v>
      </c>
      <c r="B30" s="1637" t="s">
        <v>3065</v>
      </c>
      <c r="C30" s="1637" t="s">
        <v>3066</v>
      </c>
      <c r="D30" s="1637" t="s">
        <v>3067</v>
      </c>
      <c r="E30" s="1637" t="s">
        <v>3149</v>
      </c>
      <c r="F30" s="1637" t="s">
        <v>3068</v>
      </c>
      <c r="G30" s="1637">
        <v>22936</v>
      </c>
      <c r="H30" s="1637">
        <v>45872</v>
      </c>
      <c r="I30" s="1637" t="s">
        <v>3150</v>
      </c>
      <c r="J30" s="1637" t="s">
        <v>3151</v>
      </c>
      <c r="K30" s="1637" t="s">
        <v>3152</v>
      </c>
      <c r="L30" s="1637">
        <v>2652</v>
      </c>
      <c r="M30" s="1637">
        <v>578.12</v>
      </c>
      <c r="N30" s="1637">
        <f t="shared" si="0"/>
        <v>1156</v>
      </c>
      <c r="O30" s="1637">
        <v>0</v>
      </c>
      <c r="P30" s="1637" t="s">
        <v>3072</v>
      </c>
    </row>
    <row r="31" spans="1:16">
      <c r="A31" s="1637" t="s">
        <v>3155</v>
      </c>
      <c r="B31" s="1637" t="s">
        <v>3065</v>
      </c>
      <c r="C31" s="1637" t="s">
        <v>3066</v>
      </c>
      <c r="D31" s="1637" t="s">
        <v>3067</v>
      </c>
      <c r="E31" s="1637" t="s">
        <v>3155</v>
      </c>
      <c r="F31" s="1637" t="s">
        <v>3068</v>
      </c>
      <c r="G31" s="1637">
        <v>819</v>
      </c>
      <c r="H31" s="1637">
        <v>1638</v>
      </c>
      <c r="I31" s="1637" t="s">
        <v>3084</v>
      </c>
      <c r="J31" s="1637" t="s">
        <v>3156</v>
      </c>
      <c r="K31" s="1637" t="s">
        <v>3157</v>
      </c>
      <c r="L31" s="1637">
        <v>44</v>
      </c>
      <c r="M31" s="1637">
        <v>268.62</v>
      </c>
      <c r="N31" s="1637">
        <f t="shared" si="0"/>
        <v>537</v>
      </c>
      <c r="O31" s="1637">
        <v>0</v>
      </c>
      <c r="P31" s="1637" t="s">
        <v>3072</v>
      </c>
    </row>
    <row r="32" spans="1:16">
      <c r="A32" s="1637" t="s">
        <v>3158</v>
      </c>
      <c r="B32" s="1637" t="s">
        <v>3065</v>
      </c>
      <c r="C32" s="1637" t="s">
        <v>3066</v>
      </c>
      <c r="D32" s="1637" t="s">
        <v>3067</v>
      </c>
      <c r="E32" s="1637" t="s">
        <v>3158</v>
      </c>
      <c r="F32" s="1637" t="s">
        <v>3068</v>
      </c>
      <c r="G32" s="1637">
        <v>52145</v>
      </c>
      <c r="H32" s="1637">
        <v>208580</v>
      </c>
      <c r="I32" s="1637" t="s">
        <v>3159</v>
      </c>
      <c r="J32" s="1637" t="s">
        <v>3160</v>
      </c>
      <c r="K32" s="1637" t="s">
        <v>3161</v>
      </c>
      <c r="L32" s="1637">
        <v>4667</v>
      </c>
      <c r="M32" s="1637">
        <v>223.75</v>
      </c>
      <c r="N32" s="1637">
        <f t="shared" si="0"/>
        <v>895</v>
      </c>
      <c r="O32" s="1637">
        <v>0</v>
      </c>
      <c r="P32" s="1637" t="s">
        <v>3072</v>
      </c>
    </row>
    <row r="33" spans="1:16">
      <c r="A33" s="1637" t="s">
        <v>3162</v>
      </c>
      <c r="B33" s="1637" t="s">
        <v>3065</v>
      </c>
      <c r="C33" s="1637" t="s">
        <v>3066</v>
      </c>
      <c r="D33" s="1637" t="s">
        <v>3067</v>
      </c>
      <c r="E33" s="1637" t="s">
        <v>3162</v>
      </c>
      <c r="F33" s="1637" t="s">
        <v>3068</v>
      </c>
      <c r="G33" s="1637">
        <v>174300</v>
      </c>
      <c r="H33" s="1637">
        <v>697200</v>
      </c>
      <c r="I33" s="1637" t="s">
        <v>3159</v>
      </c>
      <c r="J33" s="1637" t="s">
        <v>3160</v>
      </c>
      <c r="K33" s="1637" t="s">
        <v>3161</v>
      </c>
      <c r="L33" s="1637">
        <v>15600</v>
      </c>
      <c r="M33" s="1637">
        <v>223.75</v>
      </c>
      <c r="N33" s="1637">
        <f t="shared" si="0"/>
        <v>895</v>
      </c>
      <c r="O33" s="1637">
        <v>0</v>
      </c>
      <c r="P33" s="1637" t="s">
        <v>3072</v>
      </c>
    </row>
    <row r="34" spans="1:16">
      <c r="A34" s="1637" t="s">
        <v>3163</v>
      </c>
      <c r="B34" s="1637" t="s">
        <v>3065</v>
      </c>
      <c r="C34" s="1637" t="s">
        <v>3066</v>
      </c>
      <c r="D34" s="1637" t="s">
        <v>3067</v>
      </c>
      <c r="E34" s="1637" t="s">
        <v>3163</v>
      </c>
      <c r="F34" s="1637" t="s">
        <v>3068</v>
      </c>
      <c r="G34" s="1637">
        <v>79849</v>
      </c>
      <c r="H34" s="1637">
        <v>319396</v>
      </c>
      <c r="I34" s="1637" t="s">
        <v>3159</v>
      </c>
      <c r="J34" s="1637" t="s">
        <v>3164</v>
      </c>
      <c r="K34" s="1637" t="s">
        <v>3165</v>
      </c>
      <c r="L34" s="1637">
        <v>7147</v>
      </c>
      <c r="M34" s="1637">
        <v>223.77</v>
      </c>
      <c r="N34" s="1637">
        <f t="shared" ref="N34:N57" si="1">ROUND(L34/G34*10000,0)</f>
        <v>895</v>
      </c>
      <c r="O34" s="1637">
        <v>0</v>
      </c>
      <c r="P34" s="1637" t="s">
        <v>3072</v>
      </c>
    </row>
    <row r="35" spans="1:16">
      <c r="A35" s="1637" t="s">
        <v>3166</v>
      </c>
      <c r="B35" s="1637" t="s">
        <v>3065</v>
      </c>
      <c r="C35" s="1637" t="s">
        <v>3066</v>
      </c>
      <c r="D35" s="1637" t="s">
        <v>3067</v>
      </c>
      <c r="E35" s="1637" t="s">
        <v>3166</v>
      </c>
      <c r="F35" s="1637" t="s">
        <v>3068</v>
      </c>
      <c r="G35" s="1637">
        <v>81190</v>
      </c>
      <c r="H35" s="1637">
        <v>324760</v>
      </c>
      <c r="I35" s="1637" t="s">
        <v>3159</v>
      </c>
      <c r="J35" s="1637" t="s">
        <v>3164</v>
      </c>
      <c r="K35" s="1637" t="s">
        <v>3165</v>
      </c>
      <c r="L35" s="1637">
        <v>7267</v>
      </c>
      <c r="M35" s="1637">
        <v>223.77</v>
      </c>
      <c r="N35" s="1637">
        <f t="shared" si="1"/>
        <v>895</v>
      </c>
      <c r="O35" s="1637">
        <v>0</v>
      </c>
      <c r="P35" s="1637" t="s">
        <v>3072</v>
      </c>
    </row>
    <row r="36" spans="1:16">
      <c r="A36" s="1637" t="s">
        <v>3170</v>
      </c>
      <c r="B36" s="1637" t="s">
        <v>3065</v>
      </c>
      <c r="C36" s="1637" t="s">
        <v>3066</v>
      </c>
      <c r="D36" s="1637" t="s">
        <v>3067</v>
      </c>
      <c r="E36" s="1637" t="s">
        <v>3170</v>
      </c>
      <c r="F36" s="1637" t="s">
        <v>3068</v>
      </c>
      <c r="G36" s="1637">
        <v>6666</v>
      </c>
      <c r="H36" s="1637">
        <v>13332</v>
      </c>
      <c r="I36" s="1637" t="s">
        <v>3084</v>
      </c>
      <c r="J36" s="1637" t="s">
        <v>3168</v>
      </c>
      <c r="K36" s="1637" t="s">
        <v>3169</v>
      </c>
      <c r="L36" s="1637">
        <v>307</v>
      </c>
      <c r="M36" s="1637">
        <v>230.27</v>
      </c>
      <c r="N36" s="1637">
        <f t="shared" si="1"/>
        <v>461</v>
      </c>
      <c r="O36" s="1637">
        <v>0</v>
      </c>
      <c r="P36" s="1637" t="s">
        <v>3072</v>
      </c>
    </row>
    <row r="37" spans="1:16">
      <c r="A37" s="1637" t="s">
        <v>3167</v>
      </c>
      <c r="B37" s="1637" t="s">
        <v>3065</v>
      </c>
      <c r="C37" s="1637" t="s">
        <v>3066</v>
      </c>
      <c r="D37" s="1637" t="s">
        <v>3067</v>
      </c>
      <c r="E37" s="1637" t="s">
        <v>3167</v>
      </c>
      <c r="F37" s="1637" t="s">
        <v>3068</v>
      </c>
      <c r="G37" s="1637">
        <v>5236</v>
      </c>
      <c r="H37" s="1637">
        <v>10472</v>
      </c>
      <c r="I37" s="1637" t="s">
        <v>3084</v>
      </c>
      <c r="J37" s="1637" t="s">
        <v>3168</v>
      </c>
      <c r="K37" s="1637" t="s">
        <v>3169</v>
      </c>
      <c r="L37" s="1637">
        <v>241</v>
      </c>
      <c r="M37" s="1637">
        <v>230.13</v>
      </c>
      <c r="N37" s="1637">
        <f t="shared" si="1"/>
        <v>460</v>
      </c>
      <c r="O37" s="1637">
        <v>0</v>
      </c>
      <c r="P37" s="1637" t="s">
        <v>3072</v>
      </c>
    </row>
    <row r="38" spans="1:16">
      <c r="A38" s="1637" t="s">
        <v>3171</v>
      </c>
      <c r="B38" s="1637" t="s">
        <v>3065</v>
      </c>
      <c r="C38" s="1637" t="s">
        <v>3066</v>
      </c>
      <c r="D38" s="1637" t="s">
        <v>3067</v>
      </c>
      <c r="E38" s="1637" t="s">
        <v>3171</v>
      </c>
      <c r="F38" s="1637" t="s">
        <v>3068</v>
      </c>
      <c r="G38" s="1637">
        <v>7401</v>
      </c>
      <c r="H38" s="1637">
        <v>11101.5</v>
      </c>
      <c r="I38" s="1637" t="s">
        <v>3130</v>
      </c>
      <c r="J38" s="1637" t="s">
        <v>3172</v>
      </c>
      <c r="K38" s="1637" t="s">
        <v>3173</v>
      </c>
      <c r="L38" s="1637">
        <v>526</v>
      </c>
      <c r="M38" s="1637">
        <v>473.81</v>
      </c>
      <c r="N38" s="1637">
        <f t="shared" si="1"/>
        <v>711</v>
      </c>
      <c r="O38" s="1637">
        <v>0</v>
      </c>
      <c r="P38" s="1637" t="s">
        <v>3072</v>
      </c>
    </row>
    <row r="39" spans="1:16">
      <c r="A39" s="1637" t="s">
        <v>3174</v>
      </c>
      <c r="B39" s="1637" t="s">
        <v>3065</v>
      </c>
      <c r="C39" s="1637" t="s">
        <v>3066</v>
      </c>
      <c r="D39" s="1637" t="s">
        <v>3067</v>
      </c>
      <c r="E39" s="1637" t="s">
        <v>3174</v>
      </c>
      <c r="F39" s="1637" t="s">
        <v>3068</v>
      </c>
      <c r="G39" s="1637">
        <v>13142</v>
      </c>
      <c r="H39" s="1637">
        <v>15770.4</v>
      </c>
      <c r="I39" s="1637" t="s">
        <v>3078</v>
      </c>
      <c r="J39" s="1637" t="s">
        <v>3172</v>
      </c>
      <c r="K39" s="1637" t="s">
        <v>3128</v>
      </c>
      <c r="L39" s="1637">
        <v>871</v>
      </c>
      <c r="M39" s="1637">
        <v>552.29</v>
      </c>
      <c r="N39" s="1637">
        <f t="shared" si="1"/>
        <v>663</v>
      </c>
      <c r="O39" s="1637">
        <v>0</v>
      </c>
      <c r="P39" s="1637" t="s">
        <v>3072</v>
      </c>
    </row>
    <row r="40" spans="1:16">
      <c r="A40" s="1637" t="s">
        <v>3175</v>
      </c>
      <c r="B40" s="1637" t="s">
        <v>3065</v>
      </c>
      <c r="C40" s="1637" t="s">
        <v>3066</v>
      </c>
      <c r="D40" s="1637" t="s">
        <v>3067</v>
      </c>
      <c r="E40" s="1637" t="s">
        <v>3175</v>
      </c>
      <c r="F40" s="1637" t="s">
        <v>3068</v>
      </c>
      <c r="G40" s="1637">
        <v>3087</v>
      </c>
      <c r="H40" s="1637">
        <v>6174</v>
      </c>
      <c r="I40" s="1637" t="s">
        <v>3084</v>
      </c>
      <c r="J40" s="1637" t="s">
        <v>3176</v>
      </c>
      <c r="K40" s="1637" t="s">
        <v>3177</v>
      </c>
      <c r="L40" s="1637">
        <v>186</v>
      </c>
      <c r="M40" s="1637">
        <v>301.25</v>
      </c>
      <c r="N40" s="1637">
        <f t="shared" si="1"/>
        <v>603</v>
      </c>
      <c r="O40" s="1637">
        <v>0</v>
      </c>
      <c r="P40" s="1637" t="s">
        <v>3072</v>
      </c>
    </row>
    <row r="41" spans="1:16">
      <c r="A41" s="1637" t="s">
        <v>3181</v>
      </c>
      <c r="B41" s="1637" t="s">
        <v>3065</v>
      </c>
      <c r="C41" s="1637" t="s">
        <v>3066</v>
      </c>
      <c r="D41" s="1637" t="s">
        <v>3067</v>
      </c>
      <c r="E41" s="1637" t="s">
        <v>3181</v>
      </c>
      <c r="F41" s="1637" t="s">
        <v>3068</v>
      </c>
      <c r="G41" s="1637">
        <v>28318</v>
      </c>
      <c r="H41" s="1637">
        <v>28318</v>
      </c>
      <c r="I41" s="1637" t="s">
        <v>3141</v>
      </c>
      <c r="J41" s="1637" t="s">
        <v>3179</v>
      </c>
      <c r="K41" s="1637" t="s">
        <v>3182</v>
      </c>
      <c r="L41" s="1637">
        <v>2776</v>
      </c>
      <c r="M41" s="1637">
        <v>980.29</v>
      </c>
      <c r="N41" s="1637">
        <f t="shared" si="1"/>
        <v>980</v>
      </c>
      <c r="O41" s="1637">
        <v>0</v>
      </c>
      <c r="P41" s="1637" t="s">
        <v>3072</v>
      </c>
    </row>
    <row r="42" spans="1:16">
      <c r="A42" s="1637" t="s">
        <v>3185</v>
      </c>
      <c r="B42" s="1637" t="s">
        <v>3065</v>
      </c>
      <c r="C42" s="1637" t="s">
        <v>3066</v>
      </c>
      <c r="D42" s="1637" t="s">
        <v>3067</v>
      </c>
      <c r="E42" s="1637" t="s">
        <v>3185</v>
      </c>
      <c r="F42" s="1637" t="s">
        <v>3068</v>
      </c>
      <c r="G42" s="1637">
        <v>10492</v>
      </c>
      <c r="H42" s="1637">
        <v>10492</v>
      </c>
      <c r="I42" s="1637" t="s">
        <v>3141</v>
      </c>
      <c r="J42" s="1637" t="s">
        <v>3179</v>
      </c>
      <c r="K42" s="1637" t="s">
        <v>3142</v>
      </c>
      <c r="L42" s="1637">
        <v>945</v>
      </c>
      <c r="M42" s="1637">
        <v>900.69</v>
      </c>
      <c r="N42" s="1637">
        <f t="shared" si="1"/>
        <v>901</v>
      </c>
      <c r="O42" s="1637">
        <v>0</v>
      </c>
      <c r="P42" s="1637" t="s">
        <v>3072</v>
      </c>
    </row>
    <row r="43" spans="1:16">
      <c r="A43" s="1637" t="s">
        <v>3183</v>
      </c>
      <c r="B43" s="1637" t="s">
        <v>3065</v>
      </c>
      <c r="C43" s="1637" t="s">
        <v>3066</v>
      </c>
      <c r="D43" s="1637" t="s">
        <v>3067</v>
      </c>
      <c r="E43" s="1637" t="s">
        <v>3183</v>
      </c>
      <c r="F43" s="1637" t="s">
        <v>3068</v>
      </c>
      <c r="G43" s="1637">
        <v>6776</v>
      </c>
      <c r="H43" s="1637">
        <v>6776</v>
      </c>
      <c r="I43" s="1637" t="s">
        <v>3141</v>
      </c>
      <c r="J43" s="1637" t="s">
        <v>3179</v>
      </c>
      <c r="K43" s="1637" t="s">
        <v>3184</v>
      </c>
      <c r="L43" s="1637">
        <v>373</v>
      </c>
      <c r="M43" s="1637">
        <v>550.47</v>
      </c>
      <c r="N43" s="1637">
        <f t="shared" si="1"/>
        <v>550</v>
      </c>
      <c r="O43" s="1637">
        <v>0</v>
      </c>
      <c r="P43" s="1637" t="s">
        <v>3072</v>
      </c>
    </row>
    <row r="44" spans="1:16">
      <c r="A44" s="1637" t="s">
        <v>3178</v>
      </c>
      <c r="B44" s="1637" t="s">
        <v>3065</v>
      </c>
      <c r="C44" s="1637" t="s">
        <v>3066</v>
      </c>
      <c r="D44" s="1637" t="s">
        <v>3067</v>
      </c>
      <c r="E44" s="1637" t="s">
        <v>3178</v>
      </c>
      <c r="F44" s="1637" t="s">
        <v>3068</v>
      </c>
      <c r="G44" s="1637">
        <v>3473</v>
      </c>
      <c r="H44" s="1637">
        <v>4167.6000000000004</v>
      </c>
      <c r="I44" s="1637" t="s">
        <v>3078</v>
      </c>
      <c r="J44" s="1637" t="s">
        <v>3179</v>
      </c>
      <c r="K44" s="1637" t="s">
        <v>3180</v>
      </c>
      <c r="L44" s="1637">
        <v>157</v>
      </c>
      <c r="M44" s="1637">
        <v>376.72</v>
      </c>
      <c r="N44" s="1637">
        <f t="shared" si="1"/>
        <v>452</v>
      </c>
      <c r="O44" s="1637">
        <v>0</v>
      </c>
      <c r="P44" s="1637" t="s">
        <v>3072</v>
      </c>
    </row>
    <row r="45" spans="1:16">
      <c r="A45" s="1637" t="s">
        <v>3186</v>
      </c>
      <c r="B45" s="1637" t="s">
        <v>3065</v>
      </c>
      <c r="C45" s="1637" t="s">
        <v>3066</v>
      </c>
      <c r="D45" s="1637" t="s">
        <v>3067</v>
      </c>
      <c r="E45" s="1637" t="s">
        <v>3186</v>
      </c>
      <c r="F45" s="1637" t="s">
        <v>3068</v>
      </c>
      <c r="G45" s="1637">
        <v>8380</v>
      </c>
      <c r="H45" s="1637">
        <v>12570</v>
      </c>
      <c r="I45" s="1637" t="s">
        <v>3130</v>
      </c>
      <c r="J45" s="1637" t="s">
        <v>3179</v>
      </c>
      <c r="K45" s="1637" t="s">
        <v>3187</v>
      </c>
      <c r="L45" s="1637">
        <v>378</v>
      </c>
      <c r="M45" s="1637">
        <v>300.72000000000003</v>
      </c>
      <c r="N45" s="1637">
        <f t="shared" si="1"/>
        <v>451</v>
      </c>
      <c r="O45" s="1637">
        <v>0</v>
      </c>
      <c r="P45" s="1637" t="s">
        <v>3072</v>
      </c>
    </row>
    <row r="46" spans="1:16">
      <c r="A46" s="1637" t="s">
        <v>3188</v>
      </c>
      <c r="B46" s="1637" t="s">
        <v>3065</v>
      </c>
      <c r="C46" s="1637" t="s">
        <v>3066</v>
      </c>
      <c r="D46" s="1637" t="s">
        <v>3067</v>
      </c>
      <c r="E46" s="1637" t="s">
        <v>3188</v>
      </c>
      <c r="F46" s="1637" t="s">
        <v>3068</v>
      </c>
      <c r="G46" s="1637">
        <v>1440</v>
      </c>
      <c r="H46" s="1637">
        <v>2880</v>
      </c>
      <c r="I46" s="1637" t="s">
        <v>3150</v>
      </c>
      <c r="J46" s="1637" t="s">
        <v>3179</v>
      </c>
      <c r="K46" s="1637" t="s">
        <v>3189</v>
      </c>
      <c r="L46" s="1637">
        <v>65</v>
      </c>
      <c r="M46" s="1637">
        <v>225.68</v>
      </c>
      <c r="N46" s="1637">
        <f t="shared" si="1"/>
        <v>451</v>
      </c>
      <c r="O46" s="1637">
        <v>0</v>
      </c>
      <c r="P46" s="1637" t="s">
        <v>3072</v>
      </c>
    </row>
    <row r="47" spans="1:16">
      <c r="A47" s="1637" t="s">
        <v>3190</v>
      </c>
      <c r="B47" s="1637" t="s">
        <v>3065</v>
      </c>
      <c r="C47" s="1637" t="s">
        <v>3066</v>
      </c>
      <c r="D47" s="1637" t="s">
        <v>3067</v>
      </c>
      <c r="E47" s="1637" t="s">
        <v>3190</v>
      </c>
      <c r="F47" s="1637" t="s">
        <v>3068</v>
      </c>
      <c r="G47" s="1637">
        <v>7551</v>
      </c>
      <c r="H47" s="1637">
        <v>9061.2000000000007</v>
      </c>
      <c r="I47" s="1637" t="s">
        <v>3078</v>
      </c>
      <c r="J47" s="1637" t="s">
        <v>3191</v>
      </c>
      <c r="K47" s="1637" t="s">
        <v>3192</v>
      </c>
      <c r="L47" s="1637">
        <v>526</v>
      </c>
      <c r="M47" s="1637">
        <v>580.5</v>
      </c>
      <c r="N47" s="1637">
        <f t="shared" si="1"/>
        <v>697</v>
      </c>
      <c r="O47" s="1637">
        <v>0</v>
      </c>
      <c r="P47" s="1637" t="s">
        <v>3072</v>
      </c>
    </row>
    <row r="48" spans="1:16">
      <c r="A48" s="1637" t="s">
        <v>3193</v>
      </c>
      <c r="B48" s="1637" t="s">
        <v>3065</v>
      </c>
      <c r="C48" s="1637" t="s">
        <v>3066</v>
      </c>
      <c r="D48" s="1637" t="s">
        <v>3067</v>
      </c>
      <c r="E48" s="1637" t="s">
        <v>3193</v>
      </c>
      <c r="F48" s="1637" t="s">
        <v>3068</v>
      </c>
      <c r="G48" s="1637">
        <v>85336</v>
      </c>
      <c r="H48" s="1637">
        <v>136537.60000000001</v>
      </c>
      <c r="I48" s="1637" t="s">
        <v>3194</v>
      </c>
      <c r="J48" s="1637" t="s">
        <v>3195</v>
      </c>
      <c r="K48" s="1637" t="s">
        <v>3196</v>
      </c>
      <c r="L48" s="1637">
        <v>12758</v>
      </c>
      <c r="M48" s="1637">
        <v>934.38</v>
      </c>
      <c r="N48" s="1637">
        <f t="shared" si="1"/>
        <v>1495</v>
      </c>
      <c r="O48" s="1637">
        <v>0</v>
      </c>
      <c r="P48" s="1637" t="s">
        <v>3197</v>
      </c>
    </row>
    <row r="49" spans="1:16">
      <c r="A49" s="1637" t="s">
        <v>3198</v>
      </c>
      <c r="B49" s="1637" t="s">
        <v>3065</v>
      </c>
      <c r="C49" s="1637" t="s">
        <v>3066</v>
      </c>
      <c r="D49" s="1637" t="s">
        <v>3067</v>
      </c>
      <c r="E49" s="1637" t="s">
        <v>3198</v>
      </c>
      <c r="F49" s="1637" t="s">
        <v>3068</v>
      </c>
      <c r="G49" s="1637">
        <v>54391</v>
      </c>
      <c r="H49" s="1637">
        <v>81586.5</v>
      </c>
      <c r="I49" s="1637" t="s">
        <v>3130</v>
      </c>
      <c r="J49" s="1637" t="s">
        <v>3199</v>
      </c>
      <c r="K49" s="1637" t="s">
        <v>3200</v>
      </c>
      <c r="L49" s="1637">
        <v>5554</v>
      </c>
      <c r="M49" s="1637">
        <v>680.75</v>
      </c>
      <c r="N49" s="1637">
        <f t="shared" si="1"/>
        <v>1021</v>
      </c>
      <c r="O49" s="1637">
        <v>0</v>
      </c>
      <c r="P49" s="1637" t="s">
        <v>3072</v>
      </c>
    </row>
    <row r="50" spans="1:16">
      <c r="A50" s="1637" t="s">
        <v>3201</v>
      </c>
      <c r="B50" s="1637" t="s">
        <v>3065</v>
      </c>
      <c r="C50" s="1637" t="s">
        <v>3066</v>
      </c>
      <c r="D50" s="1637" t="s">
        <v>3067</v>
      </c>
      <c r="E50" s="1637" t="s">
        <v>3201</v>
      </c>
      <c r="F50" s="1637" t="s">
        <v>3068</v>
      </c>
      <c r="G50" s="1637">
        <v>5296</v>
      </c>
      <c r="H50" s="1637">
        <v>9532.7999999999993</v>
      </c>
      <c r="I50" s="1637" t="s">
        <v>3202</v>
      </c>
      <c r="J50" s="1637" t="s">
        <v>3203</v>
      </c>
      <c r="K50" s="1637" t="s">
        <v>3204</v>
      </c>
      <c r="L50" s="1637">
        <v>376</v>
      </c>
      <c r="M50" s="1637">
        <v>394.43</v>
      </c>
      <c r="N50" s="1637">
        <f t="shared" si="1"/>
        <v>710</v>
      </c>
      <c r="O50" s="1637">
        <v>0</v>
      </c>
      <c r="P50" s="1637" t="s">
        <v>3072</v>
      </c>
    </row>
    <row r="51" spans="1:16">
      <c r="A51" s="2950" t="s">
        <v>3205</v>
      </c>
      <c r="B51" s="2950" t="s">
        <v>3065</v>
      </c>
      <c r="C51" s="2950" t="s">
        <v>3066</v>
      </c>
      <c r="D51" s="2950" t="s">
        <v>3067</v>
      </c>
      <c r="E51" s="2950" t="s">
        <v>3205</v>
      </c>
      <c r="F51" s="2950" t="s">
        <v>3068</v>
      </c>
      <c r="G51" s="2950">
        <v>2110</v>
      </c>
      <c r="H51" s="2950">
        <v>1055</v>
      </c>
      <c r="I51" s="2950" t="s">
        <v>3069</v>
      </c>
      <c r="J51" s="2950" t="s">
        <v>3206</v>
      </c>
      <c r="K51" s="2950" t="s">
        <v>3207</v>
      </c>
      <c r="L51" s="2950">
        <v>428</v>
      </c>
      <c r="M51" s="2950">
        <v>4056.86</v>
      </c>
      <c r="N51" s="2950">
        <f t="shared" si="1"/>
        <v>2028</v>
      </c>
      <c r="O51" s="2950">
        <v>0</v>
      </c>
      <c r="P51" s="2950" t="s">
        <v>3072</v>
      </c>
    </row>
    <row r="52" spans="1:16">
      <c r="A52" s="2951" t="s">
        <v>3212</v>
      </c>
      <c r="B52" s="2951" t="s">
        <v>3065</v>
      </c>
      <c r="C52" s="2951" t="s">
        <v>3066</v>
      </c>
      <c r="D52" s="2951" t="s">
        <v>3067</v>
      </c>
      <c r="E52" s="2951" t="s">
        <v>3212</v>
      </c>
      <c r="F52" s="2951" t="s">
        <v>3068</v>
      </c>
      <c r="G52" s="2951">
        <v>27367</v>
      </c>
      <c r="H52" s="2951">
        <v>21893.599999999999</v>
      </c>
      <c r="I52" s="2951" t="s">
        <v>3213</v>
      </c>
      <c r="J52" s="2951" t="s">
        <v>3210</v>
      </c>
      <c r="K52" s="2951" t="s">
        <v>3211</v>
      </c>
      <c r="L52" s="2951">
        <v>3383</v>
      </c>
      <c r="M52" s="2951">
        <v>1545.2</v>
      </c>
      <c r="N52" s="2951">
        <f t="shared" si="1"/>
        <v>1236</v>
      </c>
      <c r="O52" s="2951">
        <v>0</v>
      </c>
      <c r="P52" s="2951" t="s">
        <v>3072</v>
      </c>
    </row>
    <row r="53" spans="1:16">
      <c r="A53" s="2951" t="s">
        <v>3208</v>
      </c>
      <c r="B53" s="2951" t="s">
        <v>3065</v>
      </c>
      <c r="C53" s="2951" t="s">
        <v>3066</v>
      </c>
      <c r="D53" s="2951" t="s">
        <v>3067</v>
      </c>
      <c r="E53" s="2951" t="s">
        <v>3208</v>
      </c>
      <c r="F53" s="2951" t="s">
        <v>3068</v>
      </c>
      <c r="G53" s="2951">
        <v>13773</v>
      </c>
      <c r="H53" s="2951">
        <v>9641.1</v>
      </c>
      <c r="I53" s="2951" t="s">
        <v>3209</v>
      </c>
      <c r="J53" s="2951" t="s">
        <v>3210</v>
      </c>
      <c r="K53" s="2951" t="s">
        <v>3211</v>
      </c>
      <c r="L53" s="2951">
        <v>1583</v>
      </c>
      <c r="M53" s="2951">
        <v>1641.93</v>
      </c>
      <c r="N53" s="2951">
        <f t="shared" si="1"/>
        <v>1149</v>
      </c>
      <c r="O53" s="2951">
        <v>0</v>
      </c>
      <c r="P53" s="2951" t="s">
        <v>3072</v>
      </c>
    </row>
    <row r="54" spans="1:16">
      <c r="A54" s="2950" t="s">
        <v>3214</v>
      </c>
      <c r="B54" s="2950" t="s">
        <v>3065</v>
      </c>
      <c r="C54" s="2950" t="s">
        <v>3066</v>
      </c>
      <c r="D54" s="2950" t="s">
        <v>3067</v>
      </c>
      <c r="E54" s="2950" t="s">
        <v>3214</v>
      </c>
      <c r="F54" s="2950" t="s">
        <v>3068</v>
      </c>
      <c r="G54" s="2950">
        <v>6921</v>
      </c>
      <c r="H54" s="2950">
        <v>3460.5</v>
      </c>
      <c r="I54" s="2950" t="s">
        <v>3069</v>
      </c>
      <c r="J54" s="2950" t="s">
        <v>3215</v>
      </c>
      <c r="K54" s="2950" t="s">
        <v>3216</v>
      </c>
      <c r="L54" s="2950">
        <v>893</v>
      </c>
      <c r="M54" s="2950">
        <v>2580.5500000000002</v>
      </c>
      <c r="N54" s="2950">
        <f t="shared" si="1"/>
        <v>1290</v>
      </c>
      <c r="O54" s="2950">
        <v>0</v>
      </c>
      <c r="P54" s="2950" t="s">
        <v>3072</v>
      </c>
    </row>
    <row r="55" spans="1:16">
      <c r="A55" s="1637" t="s">
        <v>3217</v>
      </c>
      <c r="B55" s="1637" t="s">
        <v>3065</v>
      </c>
      <c r="C55" s="1637" t="s">
        <v>3066</v>
      </c>
      <c r="D55" s="1637" t="s">
        <v>3067</v>
      </c>
      <c r="E55" s="1637" t="s">
        <v>3217</v>
      </c>
      <c r="F55" s="1637" t="s">
        <v>3068</v>
      </c>
      <c r="G55" s="1637">
        <v>72986</v>
      </c>
      <c r="H55" s="1637">
        <v>145972</v>
      </c>
      <c r="I55" s="1637" t="s">
        <v>3218</v>
      </c>
      <c r="J55" s="1637" t="s">
        <v>3219</v>
      </c>
      <c r="K55" s="1637" t="s">
        <v>3220</v>
      </c>
      <c r="L55" s="1637">
        <v>5117</v>
      </c>
      <c r="M55" s="1637">
        <v>350.55</v>
      </c>
      <c r="N55" s="1637">
        <f t="shared" si="1"/>
        <v>701</v>
      </c>
      <c r="O55" s="1637">
        <v>0</v>
      </c>
      <c r="P55" s="1637" t="s">
        <v>3072</v>
      </c>
    </row>
    <row r="56" spans="1:16">
      <c r="A56" s="1637" t="s">
        <v>3225</v>
      </c>
      <c r="B56" s="1637" t="s">
        <v>3065</v>
      </c>
      <c r="C56" s="1637" t="s">
        <v>3066</v>
      </c>
      <c r="D56" s="1637" t="s">
        <v>3067</v>
      </c>
      <c r="E56" s="1637" t="s">
        <v>3225</v>
      </c>
      <c r="F56" s="1637" t="s">
        <v>3068</v>
      </c>
      <c r="G56" s="1637">
        <v>17428</v>
      </c>
      <c r="H56" s="1637">
        <v>34856</v>
      </c>
      <c r="I56" s="1637" t="s">
        <v>3093</v>
      </c>
      <c r="J56" s="1637" t="s">
        <v>3223</v>
      </c>
      <c r="K56" s="1637" t="s">
        <v>3226</v>
      </c>
      <c r="L56" s="1637">
        <v>1340</v>
      </c>
      <c r="M56" s="1637">
        <v>384.43</v>
      </c>
      <c r="N56" s="1637">
        <f t="shared" si="1"/>
        <v>769</v>
      </c>
      <c r="O56" s="1637">
        <v>0.75</v>
      </c>
      <c r="P56" s="1637" t="s">
        <v>3072</v>
      </c>
    </row>
    <row r="57" spans="1:16">
      <c r="A57" s="1637" t="s">
        <v>3221</v>
      </c>
      <c r="B57" s="1637" t="s">
        <v>3065</v>
      </c>
      <c r="C57" s="1637" t="s">
        <v>3066</v>
      </c>
      <c r="D57" s="1637" t="s">
        <v>3067</v>
      </c>
      <c r="E57" s="1637" t="s">
        <v>3221</v>
      </c>
      <c r="F57" s="1637" t="s">
        <v>3068</v>
      </c>
      <c r="G57" s="1637">
        <v>12354</v>
      </c>
      <c r="H57" s="1637">
        <v>14824.8</v>
      </c>
      <c r="I57" s="1637" t="s">
        <v>3222</v>
      </c>
      <c r="J57" s="1637" t="s">
        <v>3223</v>
      </c>
      <c r="K57" s="1637" t="s">
        <v>3224</v>
      </c>
      <c r="L57" s="1637">
        <v>820</v>
      </c>
      <c r="M57" s="1637">
        <v>553.12</v>
      </c>
      <c r="N57" s="1637">
        <f t="shared" si="1"/>
        <v>664</v>
      </c>
      <c r="O57" s="1637">
        <v>0</v>
      </c>
      <c r="P57" s="1637" t="s">
        <v>3072</v>
      </c>
    </row>
  </sheetData>
  <phoneticPr fontId="143"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43419</v>
      </c>
      <c r="C2" s="1022" t="s">
        <v>826</v>
      </c>
      <c r="D2" s="1022"/>
    </row>
    <row r="3" spans="1:6" ht="24" customHeight="1">
      <c r="A3" s="1023" t="s">
        <v>827</v>
      </c>
      <c r="B3" s="1024" t="s">
        <v>828</v>
      </c>
      <c r="C3" s="2350" t="s">
        <v>829</v>
      </c>
      <c r="D3" s="2353" t="s">
        <v>830</v>
      </c>
      <c r="E3" s="1025" t="s">
        <v>831</v>
      </c>
      <c r="F3" s="1024" t="s">
        <v>829</v>
      </c>
    </row>
    <row r="4" spans="1:6" ht="24" customHeight="1">
      <c r="A4" s="1704" t="s">
        <v>832</v>
      </c>
      <c r="B4" s="1025">
        <f ca="1">IF(C4&lt;B2,"已过期",1119970066)</f>
        <v>1119970066</v>
      </c>
      <c r="C4" s="2351">
        <v>43849</v>
      </c>
      <c r="D4" s="2354" t="s">
        <v>832</v>
      </c>
      <c r="E4" s="1025">
        <f ca="1">IF(F4&lt;B2,"已过期",96010014)</f>
        <v>96010014</v>
      </c>
      <c r="F4" s="1033">
        <v>47118</v>
      </c>
    </row>
    <row r="5" spans="1:6" ht="24" customHeight="1">
      <c r="A5" s="1704" t="s">
        <v>833</v>
      </c>
      <c r="B5" s="1025">
        <f ca="1">IF(C5&lt;B2,"已过期",1119970074)</f>
        <v>1119970074</v>
      </c>
      <c r="C5" s="2351">
        <v>43849</v>
      </c>
      <c r="D5" s="2354" t="s">
        <v>833</v>
      </c>
      <c r="E5" s="1025">
        <f ca="1">IF(F5&lt;B2,"已过期",2002110027)</f>
        <v>2002110027</v>
      </c>
      <c r="F5" s="1033">
        <v>46752</v>
      </c>
    </row>
    <row r="6" spans="1:6" ht="24" customHeight="1">
      <c r="A6" s="1704" t="s">
        <v>834</v>
      </c>
      <c r="B6" s="1025">
        <f ca="1">IF(C6&lt;B2,"已过期",1119970111)</f>
        <v>1119970111</v>
      </c>
      <c r="C6" s="2351">
        <v>43849</v>
      </c>
      <c r="D6" s="2354" t="s">
        <v>834</v>
      </c>
      <c r="E6" s="1025">
        <f ca="1">IF(F6&lt;B2,"已过期",94010078)</f>
        <v>94010078</v>
      </c>
      <c r="F6" s="1033">
        <v>46387</v>
      </c>
    </row>
    <row r="7" spans="1:6" ht="24" customHeight="1">
      <c r="A7" s="1704" t="s">
        <v>835</v>
      </c>
      <c r="B7" s="1025">
        <f ca="1">IF(C7&lt;B2,"已过期",1120050019)</f>
        <v>1120050019</v>
      </c>
      <c r="C7" s="2351">
        <v>44395</v>
      </c>
      <c r="D7" s="2354" t="s">
        <v>835</v>
      </c>
      <c r="E7" s="1025">
        <f ca="1">IF(F7&lt;B2,"已过期",2002110030)</f>
        <v>2002110030</v>
      </c>
      <c r="F7" s="1033">
        <v>46387</v>
      </c>
    </row>
    <row r="8" spans="1:6" ht="24" customHeight="1">
      <c r="A8" s="1704" t="s">
        <v>836</v>
      </c>
      <c r="B8" s="1025">
        <f ca="1">IF(C8&lt;B2,"已过期",1120000080)</f>
        <v>1120000080</v>
      </c>
      <c r="C8" s="2351">
        <v>43849</v>
      </c>
      <c r="D8" s="2354" t="s">
        <v>836</v>
      </c>
      <c r="E8" s="1025">
        <f ca="1">IF(F8&lt;B2,"已过期",2000110082)</f>
        <v>2000110082</v>
      </c>
      <c r="F8" s="1033">
        <v>46387</v>
      </c>
    </row>
    <row r="9" spans="1:6" ht="24" customHeight="1">
      <c r="A9" s="1704" t="s">
        <v>837</v>
      </c>
      <c r="B9" s="1025">
        <f ca="1">IF(C9&lt;B2,"已过期",1419970001)</f>
        <v>1419970001</v>
      </c>
      <c r="C9" s="2351">
        <v>43867</v>
      </c>
      <c r="D9" s="2354" t="s">
        <v>837</v>
      </c>
      <c r="E9" s="1025">
        <f ca="1">IF(F9&lt;B2,"已过期",2002110125)</f>
        <v>2002110125</v>
      </c>
      <c r="F9" s="1033">
        <v>47118</v>
      </c>
    </row>
    <row r="10" spans="1:6" ht="24" customHeight="1">
      <c r="A10" s="1704" t="s">
        <v>838</v>
      </c>
      <c r="B10" s="1025">
        <f ca="1">IF(C10&lt;B2,"已过期",1120060040)</f>
        <v>1120060040</v>
      </c>
      <c r="C10" s="2351">
        <v>43483</v>
      </c>
      <c r="D10" s="2354" t="s">
        <v>838</v>
      </c>
      <c r="E10" s="1025">
        <f ca="1">IF(F10&lt;B2,"已过期",2004110096)</f>
        <v>2004110096</v>
      </c>
      <c r="F10" s="1033">
        <v>47118</v>
      </c>
    </row>
    <row r="11" spans="1:6" ht="24" customHeight="1">
      <c r="A11" s="1704" t="s">
        <v>839</v>
      </c>
      <c r="B11" s="1025">
        <f ca="1">IF(C11&lt;B2,"已过期",1120100036)</f>
        <v>1120100036</v>
      </c>
      <c r="C11" s="2351">
        <v>43622</v>
      </c>
      <c r="D11" s="2354" t="s">
        <v>839</v>
      </c>
      <c r="E11" s="1025">
        <f ca="1">IF(F11&lt;B2,"已过期",2010110070)</f>
        <v>2010110070</v>
      </c>
      <c r="F11" s="1033">
        <v>47907</v>
      </c>
    </row>
    <row r="12" spans="1:6" ht="24" customHeight="1">
      <c r="A12" s="1704" t="s">
        <v>3046</v>
      </c>
      <c r="B12" s="1025">
        <v>1120110054</v>
      </c>
      <c r="C12" s="2946">
        <v>43937</v>
      </c>
      <c r="D12" s="1704" t="s">
        <v>3046</v>
      </c>
      <c r="E12" s="1025">
        <v>2008110060</v>
      </c>
      <c r="F12" s="1033">
        <v>47177</v>
      </c>
    </row>
    <row r="13" spans="1:6" ht="24" customHeight="1">
      <c r="A13" s="1704" t="s">
        <v>840</v>
      </c>
      <c r="B13" s="1025">
        <f ca="1">IF(C13&lt;B2,"已过期",1120070131)</f>
        <v>1120070131</v>
      </c>
      <c r="C13" s="2351">
        <v>43814</v>
      </c>
      <c r="D13" s="2354" t="s">
        <v>840</v>
      </c>
      <c r="E13" s="1025">
        <v>2014110011</v>
      </c>
      <c r="F13" s="1033">
        <v>49302</v>
      </c>
    </row>
    <row r="14" spans="1:6" ht="24" customHeight="1">
      <c r="A14" s="1704" t="s">
        <v>841</v>
      </c>
      <c r="B14" s="1025">
        <f ca="1">IF(C14&lt;B2,"已过期",1120130020)</f>
        <v>1120130020</v>
      </c>
      <c r="C14" s="2351">
        <v>43622</v>
      </c>
      <c r="D14" s="2354"/>
      <c r="E14" s="1025"/>
      <c r="F14" s="1025"/>
    </row>
    <row r="15" spans="1:6" ht="24" customHeight="1">
      <c r="A15" s="1705" t="s">
        <v>1149</v>
      </c>
      <c r="B15" s="1025">
        <v>1120070085</v>
      </c>
      <c r="C15" s="2351">
        <v>43814</v>
      </c>
      <c r="D15" s="2355" t="s">
        <v>1149</v>
      </c>
      <c r="E15" s="1025">
        <v>2004110128</v>
      </c>
      <c r="F15" s="1026">
        <v>47118</v>
      </c>
    </row>
    <row r="16" spans="1:6" ht="24" customHeight="1">
      <c r="A16" s="1704" t="s">
        <v>842</v>
      </c>
      <c r="B16" s="1025">
        <f ca="1">IF(C16&lt;B2,"已过期",1120140022)</f>
        <v>1120140022</v>
      </c>
      <c r="C16" s="2351">
        <v>44029</v>
      </c>
      <c r="D16" s="2354" t="s">
        <v>842</v>
      </c>
      <c r="E16" s="1025">
        <f ca="1">IF(F16&lt;B2,"已过期",2008110059)</f>
        <v>2008110059</v>
      </c>
      <c r="F16" s="1033">
        <v>47177</v>
      </c>
    </row>
    <row r="17" spans="1:7" ht="24" customHeight="1">
      <c r="A17" s="1704"/>
      <c r="B17" s="1025"/>
      <c r="C17" s="2351"/>
      <c r="D17" s="2354"/>
      <c r="E17" s="1025"/>
      <c r="F17" s="1033"/>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843</v>
      </c>
      <c r="E21" s="1025">
        <f ca="1">IF(F21&lt;B2,"已过期",2011110090)</f>
        <v>2011110090</v>
      </c>
      <c r="F21" s="1033">
        <v>48302</v>
      </c>
    </row>
    <row r="22" spans="1:7" ht="24" customHeight="1">
      <c r="A22" s="1704" t="s">
        <v>844</v>
      </c>
      <c r="B22" s="1025">
        <f ca="1">IF(C22&lt;B2,"已过期",1120020033)</f>
        <v>1120020033</v>
      </c>
      <c r="C22" s="2946">
        <v>44339</v>
      </c>
      <c r="D22" s="2354" t="s">
        <v>844</v>
      </c>
      <c r="E22" s="1025">
        <f ca="1">IF(F22&lt;B2,"已过期",2000110137)</f>
        <v>2000110137</v>
      </c>
      <c r="F22" s="1033">
        <v>46387</v>
      </c>
    </row>
    <row r="23" spans="1:7" ht="24" customHeight="1">
      <c r="A23" s="1704" t="s">
        <v>845</v>
      </c>
      <c r="B23" s="1025">
        <f ca="1">IF(C23&lt;B2,"已过期",1120130048)</f>
        <v>1120130048</v>
      </c>
      <c r="C23" s="2351">
        <v>43686</v>
      </c>
      <c r="D23" s="2354"/>
      <c r="E23" s="1025"/>
      <c r="F23" s="1025"/>
    </row>
    <row r="24" spans="1:7" s="1027" customFormat="1" ht="24" customHeight="1">
      <c r="A24" s="1705" t="s">
        <v>1333</v>
      </c>
      <c r="B24" s="1705" t="s">
        <v>1333</v>
      </c>
      <c r="C24" s="2352" t="s">
        <v>1333</v>
      </c>
      <c r="D24" s="2355" t="s">
        <v>1333</v>
      </c>
      <c r="E24" s="1705" t="s">
        <v>1333</v>
      </c>
      <c r="F24" s="1705" t="s">
        <v>1333</v>
      </c>
    </row>
    <row r="25" spans="1:7" ht="24" customHeight="1">
      <c r="A25" s="2999" t="s">
        <v>846</v>
      </c>
      <c r="B25" s="2999"/>
      <c r="C25" s="2999"/>
      <c r="D25" s="2999"/>
      <c r="E25" s="2999"/>
      <c r="F25" s="2999"/>
      <c r="G25" s="2999"/>
    </row>
    <row r="26" spans="1:7" s="1028" customFormat="1" ht="24" customHeight="1">
      <c r="A26" s="3000" t="s">
        <v>847</v>
      </c>
      <c r="B26" s="3000"/>
      <c r="C26" s="3001"/>
      <c r="D26" s="3002" t="s">
        <v>848</v>
      </c>
      <c r="E26" s="3000"/>
      <c r="F26" s="3000"/>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xl/worksheets/sheet11.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24" t="s">
        <v>864</v>
      </c>
      <c r="C54" s="2021" t="s">
        <v>1281</v>
      </c>
    </row>
    <row r="55" spans="1:4">
      <c r="A55" s="3003"/>
      <c r="B55" s="2024" t="s">
        <v>865</v>
      </c>
      <c r="C55" s="2021" t="s">
        <v>1282</v>
      </c>
    </row>
    <row r="56" spans="1:4">
      <c r="A56" s="3003"/>
      <c r="B56" s="2024" t="s">
        <v>866</v>
      </c>
      <c r="C56" s="2021" t="s">
        <v>1286</v>
      </c>
    </row>
    <row r="57" spans="1:4">
      <c r="A57" s="300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E19" sqref="E19"/>
    </sheetView>
  </sheetViews>
  <sheetFormatPr defaultColWidth="10" defaultRowHeight="18" customHeight="1"/>
  <cols>
    <col min="1" max="1" width="14.875" style="2034" customWidth="1"/>
    <col min="2" max="2" width="11.125" style="2034" customWidth="1"/>
    <col min="3" max="3" width="11.5" style="2034" customWidth="1"/>
    <col min="4" max="4" width="13.75" style="2034" customWidth="1"/>
    <col min="5"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004" t="str">
        <f>IF(B10="北京市","北京市",C10)&amp;F10&amp;IF(结果表!G1="在建","出让国有建设用地使用权及在建建筑物",IF(结果表!G1="土地","出让国有建设用地使用权",))&amp;B9&amp;"预评估"</f>
        <v>房地产市场价值预评估</v>
      </c>
      <c r="C1" s="3005"/>
      <c r="D1" s="3005"/>
      <c r="E1" s="3005"/>
      <c r="F1" s="3005"/>
      <c r="G1" s="3005"/>
      <c r="H1" s="3005"/>
      <c r="I1" s="300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房地产市场价值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1778</v>
      </c>
      <c r="B3" s="2038">
        <f>D3</f>
        <v>43416</v>
      </c>
      <c r="C3" s="2039" t="s">
        <v>1779</v>
      </c>
      <c r="D3" s="2038">
        <v>43416</v>
      </c>
      <c r="E3" s="2028"/>
      <c r="F3" s="2028"/>
      <c r="G3" s="2028"/>
      <c r="H3" s="2028"/>
      <c r="I3" s="2028"/>
      <c r="J3" s="2028"/>
      <c r="K3" s="2029"/>
      <c r="L3" s="2030"/>
      <c r="M3" s="2030"/>
      <c r="N3" s="2031"/>
      <c r="O3" s="2032"/>
      <c r="P3" s="2031"/>
      <c r="Q3" s="2031"/>
      <c r="R3" s="2031"/>
      <c r="S3" s="2033"/>
    </row>
    <row r="4" spans="1:19" ht="18" customHeight="1" thickBot="1">
      <c r="A4" s="2040" t="s">
        <v>1780</v>
      </c>
      <c r="B4" s="2041"/>
      <c r="C4" s="1040">
        <f>SUMIF(注册房地产估价师,B4,估价师及机构信息!B3:B24)</f>
        <v>0</v>
      </c>
      <c r="D4" s="2041"/>
      <c r="E4" s="1041">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3252</v>
      </c>
      <c r="C8" s="2058"/>
      <c r="D8" s="3007" t="s">
        <v>1785</v>
      </c>
      <c r="E8" s="2059"/>
      <c r="F8" s="2060"/>
      <c r="G8" s="2028"/>
      <c r="H8" s="2028"/>
      <c r="I8" s="2028"/>
      <c r="J8" s="2044"/>
      <c r="K8" s="2045"/>
      <c r="L8" s="2030"/>
      <c r="M8" s="2030"/>
      <c r="N8" s="2031"/>
      <c r="O8" s="2032"/>
      <c r="P8" s="2031"/>
      <c r="Q8" s="2031"/>
      <c r="R8" s="2031"/>
    </row>
    <row r="9" spans="1:19" ht="18" customHeight="1" thickBot="1">
      <c r="A9" s="2042" t="s">
        <v>1786</v>
      </c>
      <c r="B9" s="2061" t="s">
        <v>3253</v>
      </c>
      <c r="C9" s="2062"/>
      <c r="D9" s="3008"/>
      <c r="E9" s="2061"/>
      <c r="F9" s="2063"/>
      <c r="G9" s="2064"/>
      <c r="H9" s="2064"/>
      <c r="I9" s="2064"/>
      <c r="J9" s="2044"/>
      <c r="K9" s="2056"/>
      <c r="L9" s="2030"/>
      <c r="M9" s="2030"/>
      <c r="N9" s="2031"/>
      <c r="O9" s="2032"/>
      <c r="P9" s="2031"/>
      <c r="Q9" s="2031"/>
      <c r="R9" s="2031"/>
    </row>
    <row r="10" spans="1:19" ht="18" customHeight="1" thickTop="1">
      <c r="A10" s="2065" t="s">
        <v>1787</v>
      </c>
      <c r="B10" s="2066" t="s">
        <v>3230</v>
      </c>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t="s">
        <v>3231</v>
      </c>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3229</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v>57097</v>
      </c>
      <c r="F13" s="2082"/>
      <c r="G13" s="2082"/>
      <c r="H13" s="2082"/>
      <c r="I13" s="1050"/>
      <c r="J13" s="2044"/>
      <c r="K13" s="2056"/>
      <c r="L13" s="2030"/>
      <c r="M13" s="2030"/>
      <c r="N13" s="2031"/>
      <c r="O13" s="2032"/>
      <c r="P13" s="2031"/>
      <c r="Q13" s="2031"/>
      <c r="R13" s="2031"/>
    </row>
    <row r="14" spans="1:19" ht="18" customHeight="1">
      <c r="A14" s="2079"/>
      <c r="B14" s="2080"/>
      <c r="C14" s="2081" t="s">
        <v>1799</v>
      </c>
      <c r="D14" s="1053"/>
      <c r="E14" s="1053">
        <v>40</v>
      </c>
      <c r="F14" s="1053"/>
      <c r="G14" s="1053"/>
      <c r="H14" s="1053"/>
      <c r="I14" s="1053"/>
      <c r="J14" s="2044"/>
      <c r="K14" s="2083"/>
      <c r="L14" s="2030"/>
      <c r="M14" s="2030"/>
      <c r="N14" s="2031"/>
      <c r="O14" s="2032"/>
      <c r="P14" s="2031"/>
      <c r="Q14" s="2031"/>
      <c r="R14" s="2031"/>
    </row>
    <row r="15" spans="1:19" ht="18" customHeight="1">
      <c r="A15" s="2065"/>
      <c r="B15" s="2084"/>
      <c r="C15" s="2081" t="s">
        <v>1800</v>
      </c>
      <c r="D15" s="1052" t="str">
        <f>IF(B12="出让",IF(D13="","",ROUNDDOWN(MIN((D13-$D$3)/365,D14),2)),D14)</f>
        <v/>
      </c>
      <c r="E15" s="1052">
        <f>IF(B12="出让",IF(E13="","",ROUNDDOWN(MIN((E13-$D$3)/365,E14),2)),E14)</f>
        <v>37.479999999999997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1801</v>
      </c>
      <c r="B16" s="3014"/>
      <c r="C16" s="3015"/>
      <c r="D16" s="3016"/>
      <c r="E16" s="2088" t="s">
        <v>1802</v>
      </c>
      <c r="F16" s="3017"/>
      <c r="G16" s="3018"/>
      <c r="H16" s="3018"/>
      <c r="I16" s="3019"/>
      <c r="J16" s="2031"/>
      <c r="K16" s="2085"/>
      <c r="L16" s="2086"/>
      <c r="M16" s="2086"/>
      <c r="N16" s="2087"/>
      <c r="O16" s="2086"/>
      <c r="P16" s="2087"/>
      <c r="Q16" s="2031"/>
      <c r="R16" s="2031"/>
    </row>
    <row r="17" spans="1:22" ht="18" customHeight="1">
      <c r="A17" s="2089" t="s">
        <v>1803</v>
      </c>
      <c r="B17" s="2037" t="s">
        <v>1804</v>
      </c>
      <c r="C17" s="1057">
        <f>'数据-汇总表'!E3</f>
        <v>16471.48</v>
      </c>
      <c r="D17" s="2090" t="s">
        <v>1805</v>
      </c>
      <c r="E17" s="3020" t="s">
        <v>1806</v>
      </c>
      <c r="F17" s="3021"/>
      <c r="G17" s="3021"/>
      <c r="H17" s="3021"/>
      <c r="I17" s="3022"/>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7">
        <f>'数据-汇总表'!D3</f>
        <v>24812</v>
      </c>
      <c r="D18" s="2093" t="s">
        <v>1805</v>
      </c>
      <c r="E18" s="3023" t="s">
        <v>1809</v>
      </c>
      <c r="F18" s="3024"/>
      <c r="G18" s="3024"/>
      <c r="H18" s="3024"/>
      <c r="I18" s="3025"/>
      <c r="J18" s="2031"/>
      <c r="K18" s="2091"/>
      <c r="L18" s="2086"/>
      <c r="M18" s="2086"/>
      <c r="N18" s="2087"/>
      <c r="O18" s="2086"/>
      <c r="P18" s="2087"/>
      <c r="Q18" s="2031"/>
      <c r="R18" s="2031"/>
      <c r="S18" s="2031"/>
      <c r="T18" s="2031"/>
      <c r="U18" s="2031"/>
      <c r="V18" s="2031"/>
    </row>
    <row r="19" spans="1:22" ht="37.5" customHeight="1" thickTop="1" thickBot="1">
      <c r="A19" s="373" t="s">
        <v>1810</v>
      </c>
      <c r="B19" s="352" t="s">
        <v>1811</v>
      </c>
      <c r="C19" s="2094" t="s">
        <v>3251</v>
      </c>
      <c r="D19" s="2095" t="s">
        <v>1812</v>
      </c>
      <c r="E19" s="2096" t="s">
        <v>3251</v>
      </c>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010" t="s">
        <v>1814</v>
      </c>
      <c r="C20" s="3011"/>
      <c r="D20" s="3012" t="s">
        <v>1815</v>
      </c>
      <c r="E20" s="3013"/>
      <c r="F20" s="2100" t="s">
        <v>1816</v>
      </c>
      <c r="G20" s="2044"/>
      <c r="H20" s="2044"/>
      <c r="I20" s="2044"/>
      <c r="J20" s="2044"/>
      <c r="K20" s="3009"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3" t="s">
        <v>1824</v>
      </c>
      <c r="C23" s="2109"/>
      <c r="D23" s="2110" t="s">
        <v>1824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1825</v>
      </c>
      <c r="C24" s="2114"/>
      <c r="D24" s="2108" t="s">
        <v>1825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27" t="s">
        <v>1829</v>
      </c>
      <c r="B27" s="2065" t="s">
        <v>1830</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27"/>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27"/>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28"/>
      <c r="B30" s="2037" t="s">
        <v>1833</v>
      </c>
      <c r="C30" s="3029"/>
      <c r="D30" s="3030"/>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31" t="s">
        <v>1834</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32"/>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32"/>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c r="C34" s="2136"/>
      <c r="D34" s="2136"/>
      <c r="E34" s="2136"/>
      <c r="F34" s="2136"/>
      <c r="G34" s="2136"/>
      <c r="H34" s="2136"/>
      <c r="I34" s="2044"/>
      <c r="J34" s="2044"/>
      <c r="K34" s="1797">
        <f>COUNTIF(B34:H34,"——")</f>
        <v>0</v>
      </c>
      <c r="L34" s="2077" t="s">
        <v>1836</v>
      </c>
      <c r="M34" s="2077" t="s">
        <v>1837</v>
      </c>
      <c r="N34" s="2077" t="s">
        <v>1838</v>
      </c>
      <c r="O34" s="2077" t="s">
        <v>1839</v>
      </c>
      <c r="P34" s="2077" t="s">
        <v>1840</v>
      </c>
      <c r="Q34" s="2077" t="s">
        <v>1841</v>
      </c>
      <c r="R34" s="2077" t="s">
        <v>1842</v>
      </c>
      <c r="S34" s="3026" t="s">
        <v>1843</v>
      </c>
      <c r="T34" s="2137" t="str">
        <f>NUMBERSTRING(7-K34,1)&amp;"通"</f>
        <v>七通</v>
      </c>
      <c r="U34" s="2031"/>
      <c r="V34" s="2031"/>
    </row>
    <row r="35" spans="1:22" ht="18" customHeight="1">
      <c r="A35" s="2138"/>
      <c r="B35" s="3033" t="s">
        <v>1844</v>
      </c>
      <c r="C35" s="3033"/>
      <c r="D35" s="3033"/>
      <c r="E35" s="3033"/>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6"/>
      <c r="T35" s="48" t="str">
        <f>IF(T34="一通",L35,IF(T34="二通",M35,IF(T34="三通",N35,IF(T34="四通",O35,IF(T34="五通",P35,IF(T34="六通",Q35,R35))))))</f>
        <v>、、、、、、</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8"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22" activePane="bottomRight" state="frozen"/>
      <selection activeCell="C50" sqref="C50"/>
      <selection pane="topRight" activeCell="C50" sqref="C50"/>
      <selection pane="bottomLeft" activeCell="C50" sqref="C50"/>
      <selection pane="bottomRight" activeCell="A13" sqref="A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hidden="1" customWidth="1"/>
    <col min="11" max="11" width="11" style="2162" hidden="1" customWidth="1"/>
    <col min="12" max="14" width="9.5" style="2162" hidden="1" customWidth="1"/>
    <col min="15" max="15" width="9.875" style="2162" hidden="1" customWidth="1"/>
    <col min="16" max="16" width="9.75" style="2162" hidden="1"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hidden="1" customWidth="1"/>
    <col min="31" max="31" width="9.75" style="2162" hidden="1" customWidth="1"/>
    <col min="32" max="37" width="9.5" style="2162" hidden="1" customWidth="1"/>
    <col min="38"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24812</v>
      </c>
      <c r="B3" s="14">
        <f>IF(C3="否",G5-AT5,G5)</f>
        <v>16471.48</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5"/>
      <c r="C5" s="1805"/>
      <c r="D5" s="1808"/>
      <c r="E5" s="16" t="s">
        <v>1</v>
      </c>
      <c r="F5" s="16">
        <f>SUM(F13:F587)</f>
        <v>0</v>
      </c>
      <c r="G5" s="16">
        <f>SUM(G13:G587)</f>
        <v>16471.48</v>
      </c>
      <c r="H5" s="16">
        <f t="shared" ref="H5:AT5" si="0">SUM(H13:H656)</f>
        <v>16440.41</v>
      </c>
      <c r="I5" s="16">
        <f t="shared" si="0"/>
        <v>16440.41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31.07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31.07</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16471.48</v>
      </c>
      <c r="BA5" s="18">
        <f t="shared" si="1"/>
        <v>16440.41</v>
      </c>
      <c r="BB5" s="18">
        <f t="shared" si="1"/>
        <v>16440.41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31.07</v>
      </c>
      <c r="BM5" s="18">
        <f t="shared" si="1"/>
        <v>0</v>
      </c>
      <c r="BN5" s="18">
        <f t="shared" si="1"/>
        <v>0</v>
      </c>
      <c r="BO5" s="18">
        <f t="shared" si="1"/>
        <v>0</v>
      </c>
      <c r="BP5" s="18">
        <f t="shared" si="1"/>
        <v>0</v>
      </c>
      <c r="BQ5" s="18">
        <f t="shared" si="1"/>
        <v>31.07</v>
      </c>
      <c r="BR5" s="18">
        <f t="shared" si="1"/>
        <v>0</v>
      </c>
      <c r="BS5" s="18">
        <f t="shared" si="1"/>
        <v>0</v>
      </c>
      <c r="BT5" s="19">
        <f t="shared" si="1"/>
        <v>0</v>
      </c>
    </row>
    <row r="6" spans="1:72" s="2180" customFormat="1" ht="12.75">
      <c r="A6" s="15" t="s">
        <v>1881</v>
      </c>
      <c r="B6" s="2177"/>
      <c r="C6" s="2177"/>
      <c r="D6" s="2178"/>
      <c r="E6" s="16">
        <f>H6+AC6+AT6</f>
        <v>24812</v>
      </c>
      <c r="F6" s="16" t="s">
        <v>1</v>
      </c>
      <c r="G6" s="16" t="s">
        <v>2</v>
      </c>
      <c r="H6" s="20">
        <f>SUMIF(I$12:AB$12,"总值",I6:AB6)</f>
        <v>24765.200000000001</v>
      </c>
      <c r="I6" s="16">
        <f t="shared" ref="I6:AB6" si="2">ROUND($A$3*I5/$B$3,2)</f>
        <v>24765.200000000001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46.8</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24812</v>
      </c>
      <c r="AZ6" s="16" t="s">
        <v>3</v>
      </c>
      <c r="BA6" s="16">
        <f>ROUND($AY$6*BA5/$AZ$5,2)</f>
        <v>24765.200000000001</v>
      </c>
      <c r="BB6" s="16">
        <f>ROUND($AY$6*BB5/$AZ$5,2)</f>
        <v>24765.200000000001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46.8</v>
      </c>
      <c r="BM6" s="16">
        <f t="shared" si="5"/>
        <v>0</v>
      </c>
      <c r="BN6" s="16">
        <f t="shared" si="5"/>
        <v>0</v>
      </c>
      <c r="BO6" s="16">
        <f t="shared" si="5"/>
        <v>0</v>
      </c>
      <c r="BP6" s="16">
        <f t="shared" si="5"/>
        <v>0</v>
      </c>
      <c r="BQ6" s="16">
        <f t="shared" si="5"/>
        <v>46.8</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3" t="s">
        <v>1890</v>
      </c>
      <c r="AW7" s="2169" t="s">
        <v>1891</v>
      </c>
      <c r="AX7" s="23"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4" t="s">
        <v>1895</v>
      </c>
      <c r="AD8" s="2191"/>
      <c r="AE8" s="2183"/>
      <c r="AF8" s="1820"/>
      <c r="AG8" s="1820"/>
      <c r="AH8" s="1820"/>
      <c r="AI8" s="1820"/>
      <c r="AJ8" s="1820"/>
      <c r="AK8" s="1820"/>
      <c r="AL8" s="1820"/>
      <c r="AM8" s="1820"/>
      <c r="AN8" s="1820"/>
      <c r="AO8" s="1820"/>
      <c r="AP8" s="1820"/>
      <c r="AQ8" s="1820"/>
      <c r="AR8" s="1820"/>
      <c r="AS8" s="1820"/>
      <c r="AT8" s="1295" t="s">
        <v>1896</v>
      </c>
      <c r="AU8" s="2185" t="s">
        <v>1897</v>
      </c>
      <c r="AV8" s="1295"/>
      <c r="AW8" s="2168"/>
      <c r="AX8" s="1295"/>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1900</v>
      </c>
      <c r="I9" s="2194" t="s">
        <v>3232</v>
      </c>
      <c r="J9" s="984"/>
      <c r="K9" s="2194"/>
      <c r="L9" s="984"/>
      <c r="M9" s="2194"/>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0"/>
      <c r="BN9" s="2188"/>
      <c r="BO9" s="1820"/>
      <c r="BP9" s="1820"/>
      <c r="BQ9" s="1820"/>
      <c r="BR9" s="1820"/>
      <c r="BS9" s="1820"/>
      <c r="BT9" s="26"/>
    </row>
    <row r="10" spans="1:72" s="2192" customFormat="1" ht="12.75">
      <c r="A10" s="2185"/>
      <c r="B10" s="2185"/>
      <c r="C10" s="2185"/>
      <c r="D10" s="2185"/>
      <c r="E10" s="2185"/>
      <c r="F10" s="2185"/>
      <c r="G10" s="1295"/>
      <c r="H10" s="28"/>
      <c r="I10" s="2194" t="s">
        <v>1377</v>
      </c>
      <c r="J10" s="984"/>
      <c r="K10" s="2200"/>
      <c r="L10" s="984"/>
      <c r="M10" s="2200"/>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f>K9</f>
        <v>0</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3233</v>
      </c>
      <c r="E13" s="16">
        <f>IF($C$3="是",ROUND($A$3*G13/$B$3,2),ROUND($A$3*(G13-AT13)/$B$3,2))</f>
        <v>24812</v>
      </c>
      <c r="F13" s="32"/>
      <c r="G13" s="33">
        <f>H13+AC13+AT13</f>
        <v>16471.48</v>
      </c>
      <c r="H13" s="20">
        <f>SUMIF(I$12:AB$12,"总值",I13:AB13)</f>
        <v>16440.41</v>
      </c>
      <c r="I13" s="2217">
        <v>16440.41</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31.07</v>
      </c>
      <c r="AD13" s="2218"/>
      <c r="AE13" s="2218"/>
      <c r="AF13" s="2218"/>
      <c r="AG13" s="2218"/>
      <c r="AH13" s="2218"/>
      <c r="AI13" s="2218"/>
      <c r="AJ13" s="2218"/>
      <c r="AK13" s="2218"/>
      <c r="AL13" s="2218">
        <v>31.07</v>
      </c>
      <c r="AM13" s="2218"/>
      <c r="AN13" s="2218"/>
      <c r="AO13" s="2218"/>
      <c r="AP13" s="2218"/>
      <c r="AQ13" s="2218"/>
      <c r="AR13" s="2218"/>
      <c r="AS13" s="2218"/>
      <c r="AT13" s="2219"/>
      <c r="AU13" s="2220"/>
      <c r="AV13" s="11">
        <f t="shared" ref="AV13:AX17" si="6">A13</f>
        <v>0</v>
      </c>
      <c r="AW13" s="11">
        <f t="shared" si="6"/>
        <v>0</v>
      </c>
      <c r="AX13" s="11">
        <f t="shared" si="6"/>
        <v>0</v>
      </c>
      <c r="AY13" s="1808">
        <f>ROUND($AY$6*AZ13/$AZ$5,2)</f>
        <v>24812</v>
      </c>
      <c r="AZ13" s="16">
        <f>BA13+BL13</f>
        <v>16471.48</v>
      </c>
      <c r="BA13" s="16">
        <f>SUM(BB13:BK13)</f>
        <v>16440.41</v>
      </c>
      <c r="BB13" s="16">
        <f>IF($D13="是",I13-J13,0)</f>
        <v>16440.41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31.07</v>
      </c>
      <c r="BM13" s="16">
        <f>IF($D13="是",AD13-AE13,0)</f>
        <v>0</v>
      </c>
      <c r="BN13" s="16">
        <f>IF($D13="是",AF13-AG13,0)</f>
        <v>0</v>
      </c>
      <c r="BO13" s="16">
        <f>IF($D13="是",AH13-AI13,0)</f>
        <v>0</v>
      </c>
      <c r="BP13" s="16">
        <f>IF($D13="是",AJ13-AK13,0)</f>
        <v>0</v>
      </c>
      <c r="BQ13" s="16">
        <f>IF($D13="是",AL13-AM13,0)</f>
        <v>31.07</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D3" sqref="D3"/>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5"/>
      <c r="C1" s="1395"/>
      <c r="D1" s="1395"/>
      <c r="E1" s="1395"/>
      <c r="F1" s="1395"/>
      <c r="G1" s="1395"/>
      <c r="H1" s="1395"/>
      <c r="I1" s="1395"/>
      <c r="J1" s="1395"/>
      <c r="K1" s="1395"/>
      <c r="L1" s="1395"/>
      <c r="M1" s="1395"/>
      <c r="N1" s="1395"/>
      <c r="O1" s="1395"/>
      <c r="P1" s="1395"/>
    </row>
    <row r="2" spans="1:16" ht="15">
      <c r="A2" s="3045" t="s">
        <v>1940</v>
      </c>
      <c r="B2" s="3045"/>
      <c r="C2" s="3045"/>
      <c r="D2" s="970" t="s">
        <v>1916</v>
      </c>
      <c r="E2" s="2230" t="s">
        <v>1917</v>
      </c>
      <c r="F2" s="1395"/>
      <c r="G2" s="2231"/>
      <c r="H2" s="2232"/>
      <c r="I2" s="2233" t="s">
        <v>1941</v>
      </c>
      <c r="J2" s="1395"/>
      <c r="K2" s="1395"/>
      <c r="L2" s="1395"/>
      <c r="M2" s="1395"/>
      <c r="N2" s="1430"/>
      <c r="O2" s="1395"/>
      <c r="P2" s="1395"/>
    </row>
    <row r="3" spans="1:16" ht="15.75" thickBot="1">
      <c r="A3" s="3046" t="s">
        <v>1914</v>
      </c>
      <c r="B3" s="3046"/>
      <c r="C3" s="3046"/>
      <c r="D3" s="46">
        <f>'数据-基础表'!AY6</f>
        <v>24812</v>
      </c>
      <c r="E3" s="46">
        <f>'数据-基础表'!AZ5</f>
        <v>16471.48</v>
      </c>
      <c r="F3" s="1395"/>
      <c r="G3" s="1402"/>
      <c r="H3" s="1250" t="s">
        <v>1915</v>
      </c>
      <c r="I3" s="55">
        <f>ROUND('数据-基础表'!B3/'数据-基础表'!A3,2)</f>
        <v>0.66</v>
      </c>
      <c r="J3" s="1395"/>
      <c r="K3" s="1395"/>
      <c r="L3" s="1395"/>
      <c r="M3" s="1395"/>
      <c r="N3" s="1430"/>
      <c r="O3" s="1395"/>
      <c r="P3" s="1395"/>
    </row>
    <row r="4" spans="1:16" ht="15">
      <c r="A4" s="3047"/>
      <c r="B4" s="3048"/>
      <c r="C4" s="3049"/>
      <c r="D4" s="2234" t="s">
        <v>1916</v>
      </c>
      <c r="E4" s="2235" t="s">
        <v>1917</v>
      </c>
      <c r="F4" s="1395"/>
      <c r="G4" s="2236" t="s">
        <v>1942</v>
      </c>
      <c r="H4" s="1250" t="s">
        <v>1922</v>
      </c>
      <c r="I4" s="55">
        <f>ROUND(SUMIF('数据-基础表'!I9:AS9,"地上",'数据-基础表'!I5:AS5)/'数据-基础表'!A3,2)</f>
        <v>0.66</v>
      </c>
      <c r="J4" s="1395"/>
      <c r="K4" s="1395"/>
      <c r="L4" s="1395"/>
      <c r="M4" s="1395"/>
      <c r="N4" s="1430"/>
      <c r="O4" s="1395"/>
      <c r="P4" s="1395"/>
    </row>
    <row r="5" spans="1:16">
      <c r="A5" s="47" t="s">
        <v>1918</v>
      </c>
      <c r="B5" s="3050" t="s">
        <v>1919</v>
      </c>
      <c r="C5" s="3050"/>
      <c r="D5" s="48">
        <f>ROUND($D$3*E5/$E$3,2)</f>
        <v>0</v>
      </c>
      <c r="E5" s="49">
        <f>SUMIF('数据-基础表'!$11:$11,"住宅",'数据-基础表'!$5:$5)</f>
        <v>0</v>
      </c>
      <c r="F5" s="1395"/>
      <c r="G5" s="1402"/>
      <c r="H5" s="1250" t="s">
        <v>1915</v>
      </c>
      <c r="I5" s="55">
        <f>ROUND(E31/D31,2)</f>
        <v>0.66</v>
      </c>
      <c r="J5" s="1395"/>
      <c r="K5" s="1395"/>
      <c r="L5" s="1395"/>
      <c r="M5" s="1395"/>
      <c r="N5" s="1395"/>
      <c r="O5" s="1395"/>
      <c r="P5" s="1395"/>
    </row>
    <row r="6" spans="1:16" ht="15" thickBot="1">
      <c r="A6" s="2237"/>
      <c r="B6" s="3050" t="s">
        <v>1920</v>
      </c>
      <c r="C6" s="3050"/>
      <c r="D6" s="48">
        <f>ROUND($D$3*E6/$E$3,2)</f>
        <v>24812</v>
      </c>
      <c r="E6" s="49">
        <f>E3-E5</f>
        <v>16471.48</v>
      </c>
      <c r="F6" s="1395"/>
      <c r="G6" s="2238" t="s">
        <v>1921</v>
      </c>
      <c r="H6" s="1402" t="s">
        <v>1922</v>
      </c>
      <c r="I6" s="942">
        <f>ROUND(F31/D31,2)</f>
        <v>0.66</v>
      </c>
      <c r="J6" s="1395"/>
      <c r="K6" s="1395"/>
      <c r="L6" s="1395"/>
      <c r="M6" s="1395"/>
      <c r="N6" s="1395"/>
      <c r="O6" s="1395"/>
      <c r="P6" s="1395"/>
    </row>
    <row r="7" spans="1:16" ht="15">
      <c r="A7" s="3042"/>
      <c r="B7" s="3043"/>
      <c r="C7" s="3044"/>
      <c r="D7" s="2234" t="s">
        <v>1916</v>
      </c>
      <c r="E7" s="2239" t="s">
        <v>1923</v>
      </c>
      <c r="F7" s="1395"/>
      <c r="G7" s="2231" t="s">
        <v>1924</v>
      </c>
      <c r="H7" s="64"/>
      <c r="I7" s="420"/>
      <c r="J7" s="1395"/>
      <c r="K7" s="1395"/>
      <c r="L7" s="1395"/>
      <c r="M7" s="1395"/>
      <c r="N7" s="1395"/>
      <c r="O7" s="1395"/>
      <c r="P7" s="1395"/>
    </row>
    <row r="8" spans="1:16">
      <c r="A8" s="47" t="s">
        <v>1925</v>
      </c>
      <c r="B8" s="50" t="s">
        <v>1926</v>
      </c>
      <c r="C8" s="48" t="s">
        <v>1927</v>
      </c>
      <c r="D8" s="48">
        <f t="shared" ref="D8:D15" si="0">ROUND($D$3*E8/$E$3,2)</f>
        <v>24765.200000000001</v>
      </c>
      <c r="E8" s="51">
        <f>SUMIF('数据-基础表'!BB10:BK10,"地上",'数据-基础表'!BB5:BK5)</f>
        <v>16440.41</v>
      </c>
      <c r="F8" s="1395"/>
      <c r="G8" s="2240"/>
      <c r="H8" s="2240"/>
      <c r="I8" s="1395"/>
      <c r="J8" s="1395"/>
      <c r="K8" s="1395"/>
      <c r="L8" s="1395"/>
      <c r="M8" s="1395"/>
      <c r="N8" s="1395"/>
      <c r="O8" s="1395"/>
      <c r="P8" s="1395"/>
    </row>
    <row r="9" spans="1:16">
      <c r="A9" s="2241"/>
      <c r="B9" s="2242"/>
      <c r="C9" s="48" t="s">
        <v>1928</v>
      </c>
      <c r="D9" s="48">
        <f t="shared" si="0"/>
        <v>0</v>
      </c>
      <c r="E9" s="52">
        <v>0</v>
      </c>
      <c r="F9" s="1395"/>
      <c r="G9" s="2240"/>
      <c r="H9" s="2240"/>
      <c r="I9" s="1395"/>
      <c r="J9" s="1395"/>
      <c r="K9" s="1395"/>
      <c r="L9" s="1395"/>
      <c r="M9" s="1395"/>
      <c r="N9" s="1395"/>
      <c r="O9" s="1395"/>
      <c r="P9" s="1395"/>
    </row>
    <row r="10" spans="1:16">
      <c r="A10" s="2241"/>
      <c r="B10" s="2242"/>
      <c r="C10" s="48" t="s">
        <v>1937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1932</v>
      </c>
      <c r="D16" s="50">
        <f>SUM(D8:D15)</f>
        <v>24765.200000000001</v>
      </c>
      <c r="E16" s="53">
        <f>SUM(E8:E15)</f>
        <v>16440.41</v>
      </c>
      <c r="F16" s="1395"/>
      <c r="G16" s="2240"/>
      <c r="H16" s="2243" t="s">
        <v>1944</v>
      </c>
      <c r="I16" s="2244"/>
      <c r="J16" s="1395"/>
      <c r="K16" s="3039" t="s">
        <v>1944</v>
      </c>
      <c r="L16" s="3040"/>
      <c r="M16" s="3040"/>
      <c r="N16" s="3040"/>
      <c r="O16" s="3040"/>
      <c r="P16" s="3041"/>
    </row>
    <row r="17" spans="1:19" ht="15">
      <c r="A17" s="2245" t="s">
        <v>1945</v>
      </c>
      <c r="B17" s="2246" t="s">
        <v>1946</v>
      </c>
      <c r="C17" s="2247" t="s">
        <v>1947</v>
      </c>
      <c r="D17" s="2248" t="s">
        <v>1935</v>
      </c>
      <c r="E17" s="2249" t="s">
        <v>1936</v>
      </c>
      <c r="F17" s="2250"/>
      <c r="G17" s="2251"/>
      <c r="H17" s="2252" t="s">
        <v>1948</v>
      </c>
      <c r="I17" s="2253" t="s">
        <v>1933</v>
      </c>
      <c r="J17" s="1395"/>
      <c r="K17" s="3036" t="s">
        <v>1949</v>
      </c>
      <c r="L17" s="3037"/>
      <c r="M17" s="3038"/>
      <c r="N17" s="3036" t="s">
        <v>1950</v>
      </c>
      <c r="O17" s="3037"/>
      <c r="P17" s="3038"/>
      <c r="R17" s="2231" t="s">
        <v>1951</v>
      </c>
      <c r="S17" s="64"/>
    </row>
    <row r="18" spans="1:19" ht="15">
      <c r="A18" s="2241"/>
      <c r="B18" s="2254"/>
      <c r="C18" s="2255"/>
      <c r="D18" s="2256"/>
      <c r="E18" s="2257" t="s">
        <v>1952</v>
      </c>
      <c r="F18" s="2258" t="s">
        <v>1953</v>
      </c>
      <c r="G18" s="2259" t="s">
        <v>1954</v>
      </c>
      <c r="H18" s="1265" t="s">
        <v>1955</v>
      </c>
      <c r="I18" s="2260" t="s">
        <v>1956</v>
      </c>
      <c r="J18" s="1395"/>
      <c r="K18" s="1265" t="s">
        <v>1957</v>
      </c>
      <c r="L18" s="2261" t="s">
        <v>1958</v>
      </c>
      <c r="M18" s="1049" t="s">
        <v>1959</v>
      </c>
      <c r="N18" s="1265" t="s">
        <v>1957</v>
      </c>
      <c r="O18" s="2261" t="s">
        <v>1958</v>
      </c>
      <c r="P18" s="1049" t="s">
        <v>1959</v>
      </c>
      <c r="R18" s="1250" t="s">
        <v>1960</v>
      </c>
      <c r="S18" s="1250" t="s">
        <v>1961</v>
      </c>
    </row>
    <row r="19" spans="1:19">
      <c r="A19" s="2262"/>
      <c r="B19" s="50" t="s">
        <v>1934</v>
      </c>
      <c r="C19" s="2263" t="str">
        <f>'数据-基础表'!I10</f>
        <v>商业</v>
      </c>
      <c r="D19" s="48">
        <f>ROUND($D$3*E19/$E$3,2)</f>
        <v>24765.200000000001</v>
      </c>
      <c r="E19" s="56">
        <f t="shared" ref="E19:E26" si="1">SUM(F19:G19)</f>
        <v>16440.41</v>
      </c>
      <c r="F19" s="57">
        <f>'数据-基础表'!I13</f>
        <v>16440.41</v>
      </c>
      <c r="G19" s="58"/>
      <c r="H19" s="723">
        <f>ROUND($D$3*I19/$E$3,2)</f>
        <v>46.8</v>
      </c>
      <c r="I19" s="51">
        <f t="shared" ref="I19:I26" si="2">IF($I$17="自定义",P19,M19)</f>
        <v>31.07</v>
      </c>
      <c r="J19" s="1395"/>
      <c r="K19" s="1394">
        <f t="shared" ref="K19:K26" si="3">ROUND(E$28*E19/E$27,2)</f>
        <v>31.07</v>
      </c>
      <c r="L19" s="1250">
        <f t="shared" ref="L19:L26" si="4">ROUND(IF(COUNTIF(C19,"*住宅*")&gt;0,E$29*E19/E$32,0),2)</f>
        <v>0</v>
      </c>
      <c r="M19" s="1406">
        <f>K19+L19</f>
        <v>31.07</v>
      </c>
      <c r="N19" s="2264"/>
      <c r="O19" s="2265"/>
      <c r="P19" s="1406">
        <f>N19+O19</f>
        <v>0</v>
      </c>
      <c r="R19" s="1250">
        <f t="shared" ref="R19:S26" si="5">D19+H19</f>
        <v>24812</v>
      </c>
      <c r="S19" s="1251">
        <f t="shared" si="5"/>
        <v>16471.48</v>
      </c>
    </row>
    <row r="20" spans="1:19">
      <c r="A20" s="2266"/>
      <c r="B20" s="50" t="s">
        <v>1962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1963</v>
      </c>
      <c r="D27" s="1396">
        <f>SUM(D19:D26)</f>
        <v>24765.200000000001</v>
      </c>
      <c r="E27" s="1397">
        <f>IF(SUM(E19:E26)='数据-基础表'!BA5,SUM(E19:E26),IF(F27="地上面积有误","面积有误","地下面积有误"))</f>
        <v>16440.41</v>
      </c>
      <c r="F27" s="1396">
        <f>IF(SUM(F19:F26)=E8,SUM(F19:F26),"地上面积有误")</f>
        <v>16440.41</v>
      </c>
      <c r="G27" s="1398">
        <f>SUM(G19:G26)</f>
        <v>0</v>
      </c>
      <c r="H27" s="1399">
        <f>SUM(H19:H26)</f>
        <v>46.8</v>
      </c>
      <c r="I27" s="1400">
        <f>SUM(I19:I26)</f>
        <v>31.07</v>
      </c>
      <c r="J27" s="1395"/>
      <c r="K27" s="1403">
        <f>SUM(K19:K26)</f>
        <v>31.07</v>
      </c>
      <c r="L27" s="1404">
        <f>SUM(L19:L26)</f>
        <v>0</v>
      </c>
      <c r="M27" s="1407">
        <f>SUM(M19:M26)</f>
        <v>31.07</v>
      </c>
      <c r="N27" s="1403">
        <f t="shared" ref="N27:O27" si="10">SUM(N19:N26)</f>
        <v>0</v>
      </c>
      <c r="O27" s="1404">
        <f t="shared" si="10"/>
        <v>0</v>
      </c>
      <c r="P27" s="1405">
        <f>SUM(P19:P26)</f>
        <v>0</v>
      </c>
      <c r="R27" s="1252">
        <f>IF(SUM(R19:R26)=$D$3,SUM(R19:R26),SUM(R19:R26)&amp;"误差"&amp;ROUND(SUM(R19:R26)-$D$3,2))</f>
        <v>24812</v>
      </c>
      <c r="S27" s="1250">
        <f>IF(SUM(S19:S26)=$E$3,SUM(S19:S26),SUM(S19:S26)&amp;"误差"&amp;ROUND(SUM(S19:S26)-E3,2))</f>
        <v>16471.48</v>
      </c>
    </row>
    <row r="28" spans="1:19">
      <c r="A28" s="2266"/>
      <c r="B28" s="50" t="s">
        <v>1964</v>
      </c>
      <c r="C28" s="1262" t="s">
        <v>1965</v>
      </c>
      <c r="D28" s="48">
        <f>ROUND($D$3*E28/$E$3,2)</f>
        <v>46.8</v>
      </c>
      <c r="E28" s="56">
        <f>SUM(F28:G28)</f>
        <v>31.07</v>
      </c>
      <c r="F28" s="64">
        <f>'数据-基础表'!BQ5+'数据-基础表'!BS5</f>
        <v>31.07</v>
      </c>
      <c r="G28" s="65">
        <f>'数据-基础表'!BR5+'数据-基础表'!BT5</f>
        <v>0</v>
      </c>
      <c r="H28" s="1395"/>
      <c r="I28" s="1395"/>
      <c r="J28" s="1395"/>
      <c r="K28" s="1395"/>
      <c r="L28" s="1395"/>
      <c r="M28" s="1395"/>
      <c r="N28" s="1395"/>
      <c r="O28" s="1395"/>
      <c r="P28" s="1395"/>
    </row>
    <row r="29" spans="1:19">
      <c r="A29" s="2266"/>
      <c r="B29" s="50" t="s">
        <v>1964</v>
      </c>
      <c r="C29" s="2270"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1963</v>
      </c>
      <c r="D30" s="1396">
        <f>SUM(D28:D29)</f>
        <v>46.8</v>
      </c>
      <c r="E30" s="1396">
        <f>SUM(E28:E29)</f>
        <v>31.07</v>
      </c>
      <c r="F30" s="1396">
        <f>SUM(F28:F29)</f>
        <v>31.07</v>
      </c>
      <c r="G30" s="1398">
        <f>SUM(G28:G29)</f>
        <v>0</v>
      </c>
      <c r="H30" s="1395"/>
      <c r="I30" s="1395"/>
      <c r="J30" s="1395"/>
      <c r="K30" s="1395"/>
      <c r="L30" s="1395"/>
      <c r="M30" s="1395"/>
      <c r="N30" s="1395"/>
      <c r="O30" s="1395"/>
      <c r="P30" s="1395"/>
    </row>
    <row r="31" spans="1:19" ht="15.75" thickBot="1">
      <c r="A31" s="2272"/>
      <c r="B31" s="2273"/>
      <c r="C31" s="1010" t="s">
        <v>1967</v>
      </c>
      <c r="D31" s="729">
        <f>D27+D30</f>
        <v>24812</v>
      </c>
      <c r="E31" s="729">
        <f>E27+E30</f>
        <v>16471.48</v>
      </c>
      <c r="F31" s="730">
        <f>F27+F30</f>
        <v>16471.48</v>
      </c>
      <c r="G31" s="731">
        <f>G27+G30</f>
        <v>0</v>
      </c>
      <c r="H31" s="1395"/>
      <c r="I31" s="1395"/>
      <c r="J31" s="1395"/>
      <c r="K31" s="1395"/>
      <c r="L31" s="1395"/>
      <c r="M31" s="1395"/>
      <c r="N31" s="1395"/>
      <c r="O31" s="1395"/>
      <c r="P31" s="1395"/>
    </row>
    <row r="32" spans="1:19">
      <c r="A32" s="2236"/>
      <c r="B32" s="2236" t="s">
        <v>1968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E12" activePane="bottomRight" state="frozen"/>
      <selection activeCell="C50" sqref="C50"/>
      <selection pane="topRight" activeCell="C50" sqref="C50"/>
      <selection pane="bottomLeft" activeCell="C50" sqref="C50"/>
      <selection pane="bottomRight" activeCell="L12" sqref="L12"/>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1970</v>
      </c>
      <c r="B2" s="1269">
        <f>项目基本情况!D3</f>
        <v>43416</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1977</v>
      </c>
      <c r="B5" s="2293" t="s">
        <v>1978</v>
      </c>
      <c r="C5" s="2294" t="s">
        <v>1979</v>
      </c>
      <c r="D5" s="2295" t="s">
        <v>1980</v>
      </c>
      <c r="E5" s="1271" t="s">
        <v>1981</v>
      </c>
      <c r="F5" s="2296" t="s">
        <v>1982</v>
      </c>
      <c r="G5" s="1271" t="s">
        <v>1983</v>
      </c>
      <c r="H5" s="1271" t="s">
        <v>1984</v>
      </c>
      <c r="I5" s="1271" t="s">
        <v>1985</v>
      </c>
      <c r="J5" s="2297" t="s">
        <v>1986</v>
      </c>
      <c r="K5" s="2298" t="s">
        <v>1987</v>
      </c>
      <c r="L5" s="2299" t="s">
        <v>1988</v>
      </c>
      <c r="M5" s="2300" t="s">
        <v>1989</v>
      </c>
      <c r="N5" s="2301" t="s">
        <v>3254</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7" t="s">
        <v>2010</v>
      </c>
      <c r="AP5" s="1252"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商业</v>
      </c>
      <c r="B6" s="2310" t="str">
        <f>IF(A6=0,"","经营性")</f>
        <v>经营性</v>
      </c>
      <c r="C6" s="2311" t="s">
        <v>1377</v>
      </c>
      <c r="D6" s="1054">
        <f>SUMIF(项目基本情况!D$12:I$12,C6,项目基本情况!D$14:I$14)</f>
        <v>40</v>
      </c>
      <c r="E6" s="1051">
        <f>IF(B6="","",SUMIF(项目基本情况!D$12:I$12,C6,项目基本情况!D$13:I$13))</f>
        <v>57097</v>
      </c>
      <c r="F6" s="72">
        <f>SUMIF(项目基本情况!D$12:I$12,C6,项目基本情况!D$15:I$15)</f>
        <v>37.479999999999997</v>
      </c>
      <c r="G6" s="73">
        <f>IF(ISERROR(ROUND(POWER(1+H6,D6-F6)*(POWER(1+H6,F6)-1)/(POWER(1+H6,D6)-1),3)),0,ROUND(POWER(1+H6,D6-F6)*(POWER(1+H6,F6)-1)/(POWER(1+H6,D6)-1),3))</f>
        <v>0.97599999999999998</v>
      </c>
      <c r="H6" s="802">
        <v>4.4999999999999998E-2</v>
      </c>
      <c r="I6" s="802">
        <v>0.05</v>
      </c>
      <c r="J6" s="74">
        <v>8.5000000000000006E-2</v>
      </c>
      <c r="K6" s="1254">
        <f>SUMIF('数据-汇总表'!C$19:C$33,A6,'数据-汇总表'!E$19:E$33)</f>
        <v>16440.41</v>
      </c>
      <c r="L6" s="803">
        <v>4500</v>
      </c>
      <c r="M6" s="75">
        <f t="shared" ref="M6:M14" si="0">ROUND(K6*L6/10000,0)</f>
        <v>7398</v>
      </c>
      <c r="N6" s="801">
        <v>0.98</v>
      </c>
      <c r="O6" s="75" t="str">
        <f>IF($N$5="成新度","——",ROUND(M6*N6,0))</f>
        <v>——</v>
      </c>
      <c r="P6" s="76" t="str">
        <f>IF($N$5="成新度","——",M6-O6)</f>
        <v>——</v>
      </c>
      <c r="Q6" s="804">
        <v>0.06</v>
      </c>
      <c r="R6" s="77">
        <f ca="1">SUMIF('数据-汇总表'!C$19:C$33,A6,'数据-汇总表'!R$19:R$27)</f>
        <v>24812</v>
      </c>
      <c r="S6" s="54">
        <f>IF('数据-汇总表'!$I$17="按面积比例",SUMIF('数据-汇总表'!C$19:C$33,A6,'数据-汇总表'!K$19:K$33),SUMIF('数据-汇总表'!C$19:C$33,A6,'数据-汇总表'!N$19:N$33))</f>
        <v>31.07</v>
      </c>
      <c r="T6" s="1446">
        <f>ROUND($L$14*S6/10000,0)</f>
        <v>8</v>
      </c>
      <c r="U6" s="78">
        <v>1</v>
      </c>
      <c r="V6" s="79">
        <v>2.5000000000000001E-2</v>
      </c>
      <c r="W6" s="79">
        <v>0.1</v>
      </c>
      <c r="X6" s="1264"/>
      <c r="Y6" s="80">
        <v>1</v>
      </c>
      <c r="Z6" s="81"/>
      <c r="AA6" s="74"/>
      <c r="AB6" s="74"/>
      <c r="AC6" s="1264"/>
      <c r="AD6" s="82"/>
      <c r="AE6" s="1265">
        <f ca="1">IF(AN6="",0,SUMIF(INDIRECT("'"&amp;AN6&amp;"'"&amp;"!E:E"),$AE$5,INDIRECT("'"&amp;AN6&amp;"'"&amp;"!F:F")))</f>
        <v>37.479999999999997</v>
      </c>
      <c r="AF6" s="1806"/>
      <c r="AG6" s="147">
        <f>IF(AF6="",0,AE6-AF6)</f>
        <v>0</v>
      </c>
      <c r="AH6" s="83"/>
      <c r="AI6" s="85">
        <v>365</v>
      </c>
      <c r="AJ6" s="86"/>
      <c r="AK6" s="87">
        <v>1.4999999999999999E-2</v>
      </c>
      <c r="AL6" s="88">
        <v>1.5E-3</v>
      </c>
      <c r="AM6" s="89">
        <v>0.01</v>
      </c>
      <c r="AN6" s="2312" t="s">
        <v>3248</v>
      </c>
      <c r="AO6" s="55">
        <f ca="1">SUMIF(INDIRECT("'"&amp;AN6&amp;"'"&amp;"!A:A"),"总价",INDIRECT("'"&amp;AN6&amp;"'"&amp;"!B:B"))</f>
        <v>5637</v>
      </c>
      <c r="AP6" s="2313">
        <f>IF(C6="住宅",K6*L6,0)</f>
        <v>0</v>
      </c>
      <c r="AQ6" s="55">
        <f>ROUND($L$14*$N$14*S6/10000,0)</f>
        <v>8</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2014</v>
      </c>
      <c r="B14" s="2310" t="s">
        <v>2015</v>
      </c>
      <c r="C14" s="2315" t="s">
        <v>2014</v>
      </c>
      <c r="D14" s="1054"/>
      <c r="E14" s="1051"/>
      <c r="F14" s="72"/>
      <c r="G14" s="73"/>
      <c r="H14" s="1253"/>
      <c r="I14" s="1253"/>
      <c r="J14" s="1253"/>
      <c r="K14" s="1254">
        <f>SUMIF('数据-汇总表'!C$19:C$33,A14,'数据-汇总表'!E$19:E$33)</f>
        <v>31.07</v>
      </c>
      <c r="L14" s="91">
        <v>2600</v>
      </c>
      <c r="M14" s="75">
        <f t="shared" si="0"/>
        <v>8</v>
      </c>
      <c r="N14" s="92">
        <v>0.98</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2018</v>
      </c>
      <c r="B16" s="97"/>
      <c r="C16" s="1008"/>
      <c r="D16" s="2317"/>
      <c r="E16" s="97"/>
      <c r="F16" s="97"/>
      <c r="G16" s="98">
        <f>ROUND(SUMPRODUCT(G6:G13,K6:K13)/SUMPRODUCT((G6:G13&gt;0)*(K6:K13)),3)</f>
        <v>0.97599999999999998</v>
      </c>
      <c r="H16" s="99">
        <f>ROUND(SUMPRODUCT(H6:H13,K6:K13)/SUMPRODUCT((H6:H13&gt;0)*(K6:K13)),3)</f>
        <v>4.4999999999999998E-2</v>
      </c>
      <c r="I16" s="100"/>
      <c r="J16" s="100"/>
      <c r="K16" s="101">
        <f>SUM(K6:K15)</f>
        <v>16471.48</v>
      </c>
      <c r="L16" s="102">
        <f>ROUND(M16*10000/SUM(K6:K14),0)</f>
        <v>4496</v>
      </c>
      <c r="M16" s="102">
        <f>SUM(M6:M14)</f>
        <v>7406</v>
      </c>
      <c r="N16" s="103">
        <f>ROUND(SUMPRODUCT(M6:M14,N6:N14)/M16,3)</f>
        <v>0.98</v>
      </c>
      <c r="O16" s="102">
        <f>SUM(O6:O14)</f>
        <v>0</v>
      </c>
      <c r="P16" s="102">
        <f>SUM(P6:P14)</f>
        <v>0</v>
      </c>
      <c r="Q16" s="104">
        <f>ROUND(SUMPRODUCT(Q6:Q13,K6:K13)/SUMPRODUCT((Q6:Q13&gt;0)*(K6:K13)),2)</f>
        <v>0.06</v>
      </c>
      <c r="R16" s="1258">
        <f ca="1">SUM(R6:R13)</f>
        <v>24812</v>
      </c>
      <c r="S16" s="105">
        <f>SUM(S6:S13)</f>
        <v>31.07</v>
      </c>
      <c r="T16" s="106">
        <f>IF(SUMIF(T6:T13,"&lt;9E307")=M14,SUMIF(T6:T13,"&lt;9E307"),"有误，请检查")</f>
        <v>8</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2020</v>
      </c>
      <c r="B19" s="112">
        <v>0</v>
      </c>
      <c r="C19" s="2280" t="s">
        <v>2021</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2022</v>
      </c>
      <c r="B20" s="113">
        <v>2</v>
      </c>
      <c r="C20" s="2280" t="s">
        <v>2023</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2024</v>
      </c>
      <c r="B21" s="113">
        <v>2</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2025</v>
      </c>
      <c r="B22" s="114">
        <f>B19+B20</f>
        <v>2</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2026</v>
      </c>
      <c r="B23" s="114">
        <f>B19+B21</f>
        <v>2</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2027</v>
      </c>
      <c r="B24" s="115">
        <f>B20-B21</f>
        <v>0</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2028</v>
      </c>
      <c r="B26" s="2323" t="s">
        <v>2029</v>
      </c>
      <c r="C26" s="2324" t="s">
        <v>2030</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2031</v>
      </c>
      <c r="B27" s="116">
        <v>0</v>
      </c>
      <c r="C27" s="1766" t="s">
        <v>2032</v>
      </c>
      <c r="D27" s="2326"/>
      <c r="E27" s="1430"/>
      <c r="F27" s="1430"/>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0</v>
      </c>
      <c r="C28" s="2329"/>
      <c r="D28" s="2326"/>
      <c r="E28" s="1430"/>
      <c r="F28" s="1430"/>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c r="C29" s="1766" t="s">
        <v>2035</v>
      </c>
      <c r="D29" s="2326"/>
      <c r="E29" s="1430"/>
      <c r="F29" s="1430"/>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200</v>
      </c>
      <c r="C30" s="2329"/>
      <c r="D30" s="2326"/>
      <c r="E30" s="1430"/>
      <c r="F30" s="1430"/>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200</v>
      </c>
      <c r="C31" s="1766"/>
      <c r="D31" s="2326"/>
      <c r="E31" s="1430"/>
      <c r="F31" s="1430"/>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0.05</v>
      </c>
      <c r="C33" s="1765" t="s">
        <v>2040</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5" t="s">
        <v>2042</v>
      </c>
      <c r="D34" s="2281" t="s">
        <v>2043</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5" t="s">
        <v>2045</v>
      </c>
      <c r="D35" s="2326"/>
      <c r="E35" s="1430"/>
      <c r="F35" s="1430"/>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5" t="s">
        <v>2047</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2048</v>
      </c>
      <c r="B37" s="124">
        <v>0.03</v>
      </c>
      <c r="C37" s="1765" t="s">
        <v>2049</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2050</v>
      </c>
      <c r="B38" s="122">
        <v>0.05</v>
      </c>
      <c r="C38" s="1765" t="s">
        <v>2049</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2051</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2052</v>
      </c>
      <c r="B40" s="1303">
        <f ca="1">存贷款利率!G1</f>
        <v>4.7500000000000001E-2</v>
      </c>
      <c r="C40" s="1765" t="s">
        <v>2053</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2054</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2055</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2056</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2057</v>
      </c>
      <c r="B44" s="128">
        <v>7.0000000000000007E-2</v>
      </c>
      <c r="C44" s="1765" t="s">
        <v>2058</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2059</v>
      </c>
      <c r="B45" s="126">
        <v>0.03</v>
      </c>
      <c r="C45" s="1766" t="s">
        <v>2060</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2061</v>
      </c>
      <c r="B46" s="126">
        <v>0.02</v>
      </c>
      <c r="C46" s="1766" t="s">
        <v>2062</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2063</v>
      </c>
      <c r="B47" s="129"/>
      <c r="C47" s="1766" t="s">
        <v>2064</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2065</v>
      </c>
      <c r="B48" s="130">
        <v>0.03</v>
      </c>
      <c r="C48" s="1773" t="s">
        <v>2066</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2067</v>
      </c>
      <c r="B49" s="126">
        <v>5.0000000000000001E-4</v>
      </c>
      <c r="C49" s="1773" t="s">
        <v>2068</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2069</v>
      </c>
      <c r="B50" s="131">
        <v>1.2E-2</v>
      </c>
      <c r="C50" s="1430"/>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2070</v>
      </c>
      <c r="B51" s="132">
        <v>0.12</v>
      </c>
      <c r="C51" s="1430"/>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2071</v>
      </c>
      <c r="B52" s="133">
        <f>SUMIF(A54:A63,B53,B54:B63)</f>
        <v>6</v>
      </c>
      <c r="C52" s="1430"/>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2072</v>
      </c>
      <c r="B53" s="2339" t="s">
        <v>269</v>
      </c>
      <c r="C53" s="1430" t="s">
        <v>2073</v>
      </c>
      <c r="D53" s="2340" t="s">
        <v>2074</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2075</v>
      </c>
      <c r="B54" s="84">
        <v>10</v>
      </c>
      <c r="C54" s="1430">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2076</v>
      </c>
      <c r="B55" s="84">
        <v>6</v>
      </c>
      <c r="C55" s="1430">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2077</v>
      </c>
      <c r="B56" s="84">
        <v>4</v>
      </c>
      <c r="C56" s="1430">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2078</v>
      </c>
      <c r="B57" s="84">
        <v>2</v>
      </c>
      <c r="C57" s="1430">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2079</v>
      </c>
      <c r="B58" s="84"/>
      <c r="C58" s="1430">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2080</v>
      </c>
      <c r="B59" s="84"/>
      <c r="C59" s="1430">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2081</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2082</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2083</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2084</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1" t="s">
        <v>2085</v>
      </c>
      <c r="B1" s="3052"/>
      <c r="C1" s="3052"/>
      <c r="D1" s="3052"/>
      <c r="E1" s="3052"/>
      <c r="F1" s="3052"/>
      <c r="G1" s="3052"/>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376" t="s">
        <v>2092</v>
      </c>
      <c r="H3" s="2371"/>
      <c r="I3" s="2371"/>
      <c r="J3" s="2371"/>
      <c r="K3" s="2371"/>
      <c r="L3" s="2371"/>
      <c r="M3" s="2371"/>
      <c r="N3" s="2371"/>
      <c r="O3" s="2371"/>
      <c r="P3" s="2371"/>
      <c r="Q3" s="2371"/>
      <c r="R3" s="2371"/>
    </row>
    <row r="4" spans="1:29" ht="41.25">
      <c r="A4" s="431"/>
      <c r="B4" s="1797" t="s">
        <v>2093</v>
      </c>
      <c r="C4" s="2377" t="s">
        <v>2094</v>
      </c>
      <c r="D4" s="2374"/>
      <c r="E4" s="2378"/>
      <c r="F4" s="42" t="s">
        <v>2095</v>
      </c>
      <c r="G4" s="2379" t="s">
        <v>2096</v>
      </c>
      <c r="H4" s="2371"/>
      <c r="I4" s="2371"/>
      <c r="J4" s="2371"/>
      <c r="K4" s="2371"/>
      <c r="L4" s="2371"/>
      <c r="M4" s="2371"/>
      <c r="N4" s="2371"/>
      <c r="O4" s="2371"/>
      <c r="P4" s="2371"/>
      <c r="Q4" s="2371"/>
      <c r="R4" s="2371"/>
    </row>
    <row r="5" spans="1:29" ht="41.25">
      <c r="A5" s="431"/>
      <c r="B5" s="1797" t="s">
        <v>2097</v>
      </c>
      <c r="C5" s="2377" t="s">
        <v>2098</v>
      </c>
      <c r="D5" s="2374"/>
      <c r="E5" s="2378"/>
      <c r="F5" s="1797" t="s">
        <v>2099</v>
      </c>
      <c r="G5" s="2379" t="s">
        <v>2100</v>
      </c>
      <c r="H5" s="2371"/>
      <c r="I5" s="2371"/>
      <c r="J5" s="2371"/>
      <c r="K5" s="2371"/>
      <c r="L5" s="2371"/>
      <c r="M5" s="2371"/>
      <c r="N5" s="2371"/>
      <c r="O5" s="2371"/>
      <c r="P5" s="2371"/>
      <c r="Q5" s="2371"/>
      <c r="R5" s="2371"/>
    </row>
    <row r="6" spans="1:29" ht="54">
      <c r="A6" s="431"/>
      <c r="B6" s="1797" t="s">
        <v>2101</v>
      </c>
      <c r="C6" s="2379" t="s">
        <v>2096</v>
      </c>
      <c r="D6" s="2374"/>
      <c r="E6" s="2378"/>
      <c r="F6" s="1797" t="s">
        <v>2102</v>
      </c>
      <c r="G6" s="2379" t="s">
        <v>2103</v>
      </c>
      <c r="H6" s="2371"/>
      <c r="I6" s="2371"/>
      <c r="J6" s="2371"/>
      <c r="K6" s="2371"/>
      <c r="L6" s="2371"/>
      <c r="M6" s="2371"/>
      <c r="N6" s="2371"/>
      <c r="O6" s="2371"/>
      <c r="P6" s="2371"/>
      <c r="Q6" s="2371"/>
      <c r="R6" s="2371"/>
    </row>
    <row r="7" spans="1:29" ht="41.25" thickBot="1">
      <c r="A7" s="431"/>
      <c r="B7" s="1797" t="s">
        <v>2099</v>
      </c>
      <c r="C7" s="2379" t="s">
        <v>2100</v>
      </c>
      <c r="D7" s="2380"/>
      <c r="E7" s="2381"/>
      <c r="F7" s="2382" t="s">
        <v>2104</v>
      </c>
      <c r="G7" s="2383" t="s">
        <v>2105</v>
      </c>
      <c r="H7" s="2371"/>
      <c r="I7" s="2371"/>
      <c r="J7" s="2371"/>
      <c r="K7" s="2371"/>
      <c r="L7" s="2371"/>
      <c r="M7" s="2371"/>
      <c r="N7" s="2371"/>
      <c r="O7" s="2371"/>
      <c r="P7" s="2371"/>
      <c r="Q7" s="2371"/>
      <c r="R7" s="2371"/>
    </row>
    <row r="8" spans="1:29" ht="27">
      <c r="A8" s="431"/>
      <c r="B8" s="1797" t="s">
        <v>2102</v>
      </c>
      <c r="C8" s="2379" t="s">
        <v>2103</v>
      </c>
      <c r="D8" s="2380"/>
      <c r="E8" s="2380"/>
      <c r="F8" s="1136"/>
      <c r="G8" s="1136"/>
      <c r="H8" s="2371"/>
      <c r="I8" s="2371"/>
      <c r="J8" s="2371"/>
      <c r="K8" s="2371"/>
      <c r="L8" s="2371"/>
      <c r="M8" s="2371"/>
      <c r="N8" s="2371"/>
      <c r="O8" s="2371"/>
      <c r="P8" s="2371"/>
      <c r="Q8" s="2371"/>
      <c r="R8" s="2371"/>
    </row>
    <row r="9" spans="1:29" ht="27">
      <c r="A9" s="431"/>
      <c r="B9" s="1797" t="s">
        <v>2106</v>
      </c>
      <c r="C9" s="2377" t="s">
        <v>2107</v>
      </c>
      <c r="D9" s="2374"/>
      <c r="E9" s="2380"/>
      <c r="F9" s="1136"/>
      <c r="G9" s="1136"/>
      <c r="H9" s="2371"/>
      <c r="I9" s="2371"/>
      <c r="J9" s="2371"/>
      <c r="K9" s="2371"/>
      <c r="L9" s="2371"/>
      <c r="M9" s="2371"/>
      <c r="N9" s="2371"/>
      <c r="O9" s="2371"/>
      <c r="P9" s="2371"/>
      <c r="Q9" s="2371"/>
      <c r="R9" s="2371"/>
    </row>
    <row r="10" spans="1:29" s="117" customFormat="1" ht="15.75" thickBot="1">
      <c r="A10" s="2384"/>
      <c r="B10" s="2385" t="s">
        <v>2108</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70" t="s">
        <v>2089</v>
      </c>
      <c r="C15" s="2406" t="str">
        <f>C3</f>
        <v>估价对象周边居住用地比例、居住小区规模和社区发展完善程度，综合评价居住社区成熟度一般</v>
      </c>
      <c r="D15" s="2374"/>
      <c r="E15" s="2407" t="s">
        <v>2113</v>
      </c>
      <c r="F15" s="1270" t="s">
        <v>2114</v>
      </c>
      <c r="G15" s="135" t="str">
        <f>G3</f>
        <v>估价对象位于XX开发区，园区建设成熟度XX，产业集聚程度XX</v>
      </c>
    </row>
    <row r="16" spans="1:29" ht="42.75">
      <c r="A16" s="645"/>
      <c r="B16" s="2408" t="s">
        <v>2093</v>
      </c>
      <c r="C16" s="2409" t="str">
        <f>C4</f>
        <v>估价对象位于XX商圈，周边商业氛围成熟，人流量大，商业繁华度好</v>
      </c>
      <c r="D16" s="2374"/>
      <c r="E16" s="2410"/>
      <c r="F16" s="2411" t="s">
        <v>2095</v>
      </c>
      <c r="G16" s="136" t="str">
        <f>G4</f>
        <v>估价对象周边道路状况、公共交通通达情况、停车便捷程度，综合评价交通便捷度较好</v>
      </c>
    </row>
    <row r="17" spans="1:18" ht="42.75">
      <c r="A17" s="645"/>
      <c r="B17" s="2408" t="s">
        <v>2097</v>
      </c>
      <c r="C17" s="2409" t="str">
        <f>C5</f>
        <v>估价对象位于XX商圈，周边办公楼项目较多，入驻率高，办公集聚程度较好</v>
      </c>
      <c r="D17" s="2380"/>
      <c r="E17" s="2410"/>
      <c r="F17" s="2411" t="s">
        <v>2115</v>
      </c>
      <c r="G17" s="1571"/>
    </row>
    <row r="18" spans="1:18" ht="57">
      <c r="A18" s="645"/>
      <c r="B18" s="2411" t="s">
        <v>2101</v>
      </c>
      <c r="C18" s="136" t="str">
        <f>C6</f>
        <v>估价对象周边道路状况、公共交通通达情况、停车便捷程度，综合评价交通便捷度较好</v>
      </c>
      <c r="D18" s="2380"/>
      <c r="E18" s="2410"/>
      <c r="F18" s="2411" t="s">
        <v>2104</v>
      </c>
      <c r="G18" s="136" t="str">
        <f>G7</f>
        <v>该园区内是否有污染型企业，绿化情况，卫生条件，整体环境状况判断</v>
      </c>
    </row>
    <row r="19" spans="1:18" ht="28.5">
      <c r="A19" s="645"/>
      <c r="B19" s="2411" t="s">
        <v>2116</v>
      </c>
      <c r="C19" s="1571"/>
      <c r="D19" s="2374"/>
      <c r="E19" s="2410"/>
      <c r="F19" s="1797" t="s">
        <v>2099</v>
      </c>
      <c r="G19" s="136" t="str">
        <f>G5</f>
        <v>估价对象所在区域公共配套设施齐备情况</v>
      </c>
    </row>
    <row r="20" spans="1:18" ht="28.5">
      <c r="A20" s="645"/>
      <c r="B20" s="2411" t="s">
        <v>2117</v>
      </c>
      <c r="C20" s="2409" t="str">
        <f>C9</f>
        <v>区域自然环境：；人文环境；综合评价环境状况一般</v>
      </c>
      <c r="D20" s="2380"/>
      <c r="E20" s="2410"/>
      <c r="F20" s="1797" t="s">
        <v>2118</v>
      </c>
      <c r="G20" s="136" t="str">
        <f>G6</f>
        <v>估价对象所在区域基础设施水平</v>
      </c>
    </row>
    <row r="21" spans="1:18" ht="28.5">
      <c r="A21" s="645"/>
      <c r="B21" s="1797" t="s">
        <v>2099</v>
      </c>
      <c r="C21" s="136" t="str">
        <f>C7</f>
        <v>估价对象所在区域公共配套设施齐备情况</v>
      </c>
      <c r="D21" s="2374"/>
      <c r="E21" s="2410"/>
      <c r="F21" s="2411" t="s">
        <v>2119</v>
      </c>
      <c r="G21" s="2412"/>
    </row>
    <row r="22" spans="1:18" ht="13.5" customHeight="1">
      <c r="A22" s="645"/>
      <c r="B22" s="1797" t="s">
        <v>2102</v>
      </c>
      <c r="C22" s="136" t="str">
        <f>C8</f>
        <v>估价对象所在区域基础设施水平</v>
      </c>
      <c r="D22" s="2374"/>
      <c r="E22" s="2410"/>
      <c r="F22" s="2411" t="s">
        <v>2108</v>
      </c>
      <c r="G22" s="1571"/>
    </row>
    <row r="23" spans="1:18" s="2371" customFormat="1" ht="15.75" thickBot="1">
      <c r="A23" s="645"/>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J23"/>
  <sheetViews>
    <sheetView workbookViewId="0">
      <selection activeCell="D16" sqref="D16"/>
    </sheetView>
  </sheetViews>
  <sheetFormatPr defaultRowHeight="13.5"/>
  <cols>
    <col min="1" max="1" width="23.375" style="1740" customWidth="1"/>
    <col min="2" max="9" width="15.75" style="1740" customWidth="1"/>
    <col min="10" max="16384" width="9" style="1740"/>
  </cols>
  <sheetData>
    <row r="1" spans="1:10" ht="16.5">
      <c r="A1" s="1745" t="s">
        <v>1365</v>
      </c>
      <c r="B1" s="1745">
        <f>SUM(B14:B23)</f>
        <v>24455.279999999999</v>
      </c>
      <c r="C1" s="1744"/>
      <c r="D1" s="1744"/>
      <c r="E1" s="1744"/>
      <c r="F1" s="1744"/>
      <c r="G1" s="1742"/>
    </row>
    <row r="2" spans="1:10" ht="16.5">
      <c r="A2" s="1745" t="s">
        <v>1353</v>
      </c>
      <c r="B2" s="1745">
        <f>SUM(C14:C23)</f>
        <v>38585</v>
      </c>
      <c r="C2" s="1744"/>
      <c r="D2" s="1744"/>
      <c r="E2" s="1744"/>
      <c r="F2" s="1744"/>
      <c r="G2" s="1742"/>
    </row>
    <row r="3" spans="1:10" ht="16.5">
      <c r="A3" s="1745" t="s">
        <v>1362</v>
      </c>
      <c r="B3" s="1746">
        <f>项目基本情况!D3</f>
        <v>43416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20071</v>
      </c>
      <c r="C5" s="1745">
        <f ca="1">ROUND(B5*10000/$B$1,0)</f>
        <v>8207</v>
      </c>
      <c r="D5" s="1745">
        <f ca="1">ROUND(B5*10000/$B$2,0)</f>
        <v>5202</v>
      </c>
      <c r="E5" s="1744"/>
      <c r="F5" s="1742"/>
      <c r="G5" s="1742"/>
    </row>
    <row r="6" spans="1:10" ht="16.5">
      <c r="A6" s="1745" t="s">
        <v>1356</v>
      </c>
      <c r="B6" s="1745">
        <f ca="1">SUM(G14:G23)</f>
        <v>14656</v>
      </c>
      <c r="C6" s="1745">
        <f ca="1">ROUND(B6*10000/$B$1,0)</f>
        <v>5993</v>
      </c>
      <c r="D6" s="1745">
        <f ca="1">ROUND(B6*10000/$B$2,0)</f>
        <v>3798</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16471.48</v>
      </c>
      <c r="C14" s="1743">
        <f>结果表!C118</f>
        <v>24812</v>
      </c>
      <c r="D14" s="1743">
        <f ca="1">结果表!H118</f>
        <v>14656</v>
      </c>
      <c r="E14" s="1743">
        <f ca="1">ROUND(D14*10000/B14,0)</f>
        <v>8898</v>
      </c>
      <c r="F14" s="1743">
        <f ca="1">ROUND(D14*10000/C14,0)</f>
        <v>5907</v>
      </c>
      <c r="G14" s="1743">
        <f ca="1">结果表!D122</f>
        <v>14656</v>
      </c>
      <c r="H14" s="1743" t="str">
        <f>结果表!D124</f>
        <v>——</v>
      </c>
      <c r="I14" s="1743" t="str">
        <f>结果表!D126</f>
        <v>——</v>
      </c>
      <c r="J14" s="1742"/>
    </row>
    <row r="15" spans="1:10" ht="16.5">
      <c r="A15" s="1741" t="s">
        <v>1349</v>
      </c>
      <c r="B15" s="1748">
        <f>[1]系统读取表!$B$14</f>
        <v>7983.8</v>
      </c>
      <c r="C15" s="1748">
        <f>[1]系统读取表!$C$14</f>
        <v>13773</v>
      </c>
      <c r="D15" s="1748">
        <f ca="1">[2]结果表!$G$19</f>
        <v>5415</v>
      </c>
      <c r="E15" s="1743">
        <f t="shared" ref="E15:E23" ca="1" si="0">ROUND(D15*10000/B15,0)</f>
        <v>6782</v>
      </c>
      <c r="F15" s="1743">
        <f t="shared" ref="F15:F23" ca="1" si="1">ROUND(D15*10000/C15,0)</f>
        <v>3932</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19" zoomScaleSheetLayoutView="100" zoomScalePageLayoutView="80" workbookViewId="0">
      <selection activeCell="B118" sqref="B118:I118"/>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2122</v>
      </c>
      <c r="B1" s="2422"/>
      <c r="C1" s="2423"/>
      <c r="D1" s="2422"/>
      <c r="E1" s="2422"/>
      <c r="F1" s="2424" t="s">
        <v>2123</v>
      </c>
      <c r="G1" s="2073" t="s">
        <v>3257</v>
      </c>
      <c r="H1" s="2425" t="str">
        <f>IF(G1="现房","——","估价对象范围")</f>
        <v>——</v>
      </c>
      <c r="I1" s="2426"/>
    </row>
    <row r="2" spans="1:12" ht="21.75" customHeight="1" thickBot="1">
      <c r="A2" s="3125" t="str">
        <f>项目基本情况!S2</f>
        <v>房地产</v>
      </c>
      <c r="B2" s="3126"/>
      <c r="C2" s="3126"/>
      <c r="D2" s="3126"/>
      <c r="E2" s="3126"/>
      <c r="F2" s="3126"/>
      <c r="G2" s="3126"/>
      <c r="H2" s="3126"/>
      <c r="I2" s="3127"/>
    </row>
    <row r="3" spans="1:12" ht="12.75">
      <c r="A3" s="3128" t="s">
        <v>2124</v>
      </c>
      <c r="B3" s="3129"/>
      <c r="C3" s="3129"/>
      <c r="D3" s="3129"/>
      <c r="E3" s="3129"/>
      <c r="F3" s="3129"/>
      <c r="G3" s="3129"/>
      <c r="H3" s="3129"/>
      <c r="I3" s="3129"/>
    </row>
    <row r="4" spans="1:12" ht="14.25">
      <c r="A4" s="2429" t="s">
        <v>2125</v>
      </c>
      <c r="B4" s="2430" t="s">
        <v>2126</v>
      </c>
      <c r="C4" s="2431" t="s">
        <v>3246</v>
      </c>
      <c r="D4" s="2431" t="s">
        <v>3248</v>
      </c>
      <c r="E4" s="3109" t="s">
        <v>2127</v>
      </c>
      <c r="F4" s="3122"/>
      <c r="G4" s="3122"/>
      <c r="H4" s="3122"/>
      <c r="I4" s="3110"/>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00" t="s">
        <v>2128</v>
      </c>
      <c r="B5" s="3026">
        <v>25</v>
      </c>
      <c r="C5" s="3130"/>
      <c r="D5" s="3118"/>
      <c r="E5" s="140" t="s">
        <v>2129</v>
      </c>
      <c r="F5" s="2433"/>
      <c r="G5" s="2433"/>
      <c r="H5" s="2433"/>
      <c r="I5" s="1833"/>
    </row>
    <row r="6" spans="1:12" ht="12.75">
      <c r="A6" s="3100"/>
      <c r="B6" s="3026"/>
      <c r="C6" s="3132"/>
      <c r="D6" s="3118"/>
      <c r="E6" s="140" t="s">
        <v>2130</v>
      </c>
      <c r="F6" s="2433"/>
      <c r="G6" s="2433"/>
      <c r="H6" s="2433"/>
      <c r="I6" s="1833"/>
    </row>
    <row r="7" spans="1:12" ht="12.75">
      <c r="A7" s="3100"/>
      <c r="B7" s="3026"/>
      <c r="C7" s="3131"/>
      <c r="D7" s="3118"/>
      <c r="E7" s="140" t="s">
        <v>2131</v>
      </c>
      <c r="F7" s="2433"/>
      <c r="G7" s="2433"/>
      <c r="H7" s="2433"/>
      <c r="I7" s="1833"/>
    </row>
    <row r="8" spans="1:12" ht="12.75">
      <c r="A8" s="3100" t="s">
        <v>2132</v>
      </c>
      <c r="B8" s="3026">
        <v>15</v>
      </c>
      <c r="C8" s="3130"/>
      <c r="D8" s="3118"/>
      <c r="E8" s="140" t="s">
        <v>2133</v>
      </c>
      <c r="F8" s="2433"/>
      <c r="G8" s="2433"/>
      <c r="H8" s="2433"/>
      <c r="I8" s="1833"/>
    </row>
    <row r="9" spans="1:12" ht="12.75">
      <c r="A9" s="3100"/>
      <c r="B9" s="3026"/>
      <c r="C9" s="3131"/>
      <c r="D9" s="3118"/>
      <c r="E9" s="140" t="s">
        <v>2134</v>
      </c>
      <c r="F9" s="2433"/>
      <c r="G9" s="2433"/>
      <c r="H9" s="2433"/>
      <c r="I9" s="1833"/>
    </row>
    <row r="10" spans="1:12" ht="12.75">
      <c r="A10" s="3100" t="s">
        <v>2135</v>
      </c>
      <c r="B10" s="3026">
        <v>15</v>
      </c>
      <c r="C10" s="3130"/>
      <c r="D10" s="3118"/>
      <c r="E10" s="140" t="s">
        <v>2136</v>
      </c>
      <c r="F10" s="2433"/>
      <c r="G10" s="2433"/>
      <c r="H10" s="2433"/>
      <c r="I10" s="1833"/>
    </row>
    <row r="11" spans="1:12" ht="12.75">
      <c r="A11" s="3100"/>
      <c r="B11" s="3026"/>
      <c r="C11" s="3131"/>
      <c r="D11" s="3118"/>
      <c r="E11" s="140" t="s">
        <v>2137</v>
      </c>
      <c r="F11" s="2433"/>
      <c r="G11" s="2433"/>
      <c r="H11" s="2433"/>
      <c r="I11" s="1833"/>
    </row>
    <row r="12" spans="1:12" ht="12.75">
      <c r="A12" s="3100" t="s">
        <v>2138</v>
      </c>
      <c r="B12" s="3026">
        <v>15</v>
      </c>
      <c r="C12" s="3130"/>
      <c r="D12" s="3118"/>
      <c r="E12" s="140" t="s">
        <v>2139</v>
      </c>
      <c r="F12" s="2433"/>
      <c r="G12" s="2433"/>
      <c r="H12" s="2433"/>
      <c r="I12" s="1833"/>
    </row>
    <row r="13" spans="1:12" ht="12.75">
      <c r="A13" s="3100"/>
      <c r="B13" s="3026"/>
      <c r="C13" s="3131"/>
      <c r="D13" s="3118"/>
      <c r="E13" s="140" t="s">
        <v>2140</v>
      </c>
      <c r="F13" s="2433"/>
      <c r="G13" s="2433"/>
      <c r="H13" s="2433"/>
      <c r="I13" s="1833"/>
    </row>
    <row r="14" spans="1:12" ht="12.75">
      <c r="A14" s="3100" t="s">
        <v>2141</v>
      </c>
      <c r="B14" s="3026">
        <v>30</v>
      </c>
      <c r="C14" s="3130">
        <v>10</v>
      </c>
      <c r="D14" s="3118">
        <v>0</v>
      </c>
      <c r="E14" s="140" t="s">
        <v>2142</v>
      </c>
      <c r="F14" s="2433"/>
      <c r="G14" s="2433"/>
      <c r="H14" s="2433"/>
      <c r="I14" s="1833"/>
    </row>
    <row r="15" spans="1:12" ht="12.75">
      <c r="A15" s="3100"/>
      <c r="B15" s="3026"/>
      <c r="C15" s="3132"/>
      <c r="D15" s="3118"/>
      <c r="E15" s="140" t="s">
        <v>2143</v>
      </c>
      <c r="F15" s="2433"/>
      <c r="G15" s="2433"/>
      <c r="H15" s="2433"/>
      <c r="I15" s="1833"/>
    </row>
    <row r="16" spans="1:12" ht="12.75">
      <c r="A16" s="3100"/>
      <c r="B16" s="3026"/>
      <c r="C16" s="3131"/>
      <c r="D16" s="3118"/>
      <c r="E16" s="140" t="s">
        <v>2144</v>
      </c>
      <c r="F16" s="2433"/>
      <c r="G16" s="2433"/>
      <c r="H16" s="2433"/>
      <c r="I16" s="1833"/>
    </row>
    <row r="17" spans="1:35" ht="15">
      <c r="A17" s="2434" t="s">
        <v>2145</v>
      </c>
      <c r="B17" s="64"/>
      <c r="C17" s="141">
        <f>SUM(C5:C16)</f>
        <v>10</v>
      </c>
      <c r="D17" s="141">
        <f>SUM(D5:D16)</f>
        <v>0</v>
      </c>
      <c r="E17" s="138"/>
      <c r="F17" s="138"/>
      <c r="G17" s="138"/>
      <c r="H17" s="138"/>
      <c r="I17" s="138"/>
      <c r="K17" s="2432"/>
      <c r="L17" s="2435" t="s">
        <v>2146</v>
      </c>
      <c r="M17" s="2435" t="s">
        <v>2147</v>
      </c>
    </row>
    <row r="18" spans="1:35" ht="15.75" thickBot="1">
      <c r="A18" s="2436" t="s">
        <v>2148</v>
      </c>
      <c r="B18" s="2437"/>
      <c r="C18" s="142">
        <f>ROUND(C17/SUM(C17:D17),2)</f>
        <v>1</v>
      </c>
      <c r="D18" s="142">
        <f>1-C18</f>
        <v>0</v>
      </c>
      <c r="E18" s="138"/>
      <c r="F18" s="138"/>
      <c r="G18" s="138"/>
      <c r="H18" s="138"/>
      <c r="I18" s="138"/>
      <c r="K18" s="2432" t="s">
        <v>2149</v>
      </c>
      <c r="L18" s="2432">
        <f>IF(C1="",'数据-汇总表'!E3,SUMIF(项目类型,C1,'数据-汇总表'!E17:E26)+SUMIF(项目类型,C1,'数据-汇总表'!I17:I26))</f>
        <v>16471.48</v>
      </c>
      <c r="M18" s="2432">
        <f>IF(C1="",'数据-汇总表'!E3,SUMIF(项目类型,C1,'数据-汇总表'!E17:E26))</f>
        <v>16471.48</v>
      </c>
    </row>
    <row r="19" spans="1:35" ht="15">
      <c r="A19" s="2438" t="s">
        <v>2150</v>
      </c>
      <c r="B19" s="2439" t="s">
        <v>2151</v>
      </c>
      <c r="C19" s="143">
        <f ca="1">SUMIF(INDIRECT("'"&amp;C4&amp;"'"&amp;"!A:A"),结果表!B19,INDIRECT("'"&amp;C4&amp;"'"&amp;"!B:B"))</f>
        <v>14656</v>
      </c>
      <c r="D19" s="144">
        <f ca="1">SUMIF(INDIRECT("'"&amp;D4&amp;"'"&amp;"!A:A"),结果表!B19,INDIRECT("'"&amp;D4&amp;"'"&amp;"!B:B"))</f>
        <v>5637</v>
      </c>
      <c r="E19" s="2438" t="s">
        <v>2152</v>
      </c>
      <c r="F19" s="2439" t="s">
        <v>2151</v>
      </c>
      <c r="G19" s="145">
        <f ca="1">ROUND(C19*$C$18+D19*$D$18,0)</f>
        <v>14656</v>
      </c>
      <c r="H19" s="2440" t="s">
        <v>2153</v>
      </c>
      <c r="I19" s="138"/>
      <c r="J19" s="795">
        <f ca="1">G19+[2]结果表!$G$19</f>
        <v>20071</v>
      </c>
      <c r="K19" s="2432" t="s">
        <v>2154</v>
      </c>
      <c r="L19" s="2432">
        <f>IF(C1="",'数据-汇总表'!D3,SUMIF(项目类型,C1,'数据-汇总表'!D17:D26)+SUMIF(项目类型,C1,'数据-汇总表'!H17:H27))</f>
        <v>24812</v>
      </c>
      <c r="M19" s="2432">
        <f>IF(C1="",'数据-汇总表'!D3,SUMIF(项目类型,C1,'数据-汇总表'!D17:D26))</f>
        <v>24812</v>
      </c>
    </row>
    <row r="20" spans="1:35" ht="15">
      <c r="A20" s="2441"/>
      <c r="B20" s="1250" t="s">
        <v>2155</v>
      </c>
      <c r="C20" s="146">
        <f ca="1">SUMIF(INDIRECT("'"&amp;C4&amp;"'"&amp;"!A:A"),结果表!B20,INDIRECT("'"&amp;C4&amp;"'"&amp;"!B:B"))</f>
        <v>8915</v>
      </c>
      <c r="D20" s="147">
        <f ca="1">SUMIF(INDIRECT("'"&amp;D4&amp;"'"&amp;"!A:A"),结果表!B20,INDIRECT("'"&amp;D4&amp;"'"&amp;"!B:B"))</f>
        <v>3429</v>
      </c>
      <c r="E20" s="2441"/>
      <c r="F20" s="1250" t="s">
        <v>2155</v>
      </c>
      <c r="G20" s="148">
        <f ca="1">ROUND(C20*$C$18+D20*$D$18,0)</f>
        <v>8915</v>
      </c>
      <c r="H20" s="983" t="s">
        <v>2156</v>
      </c>
      <c r="I20" s="138"/>
    </row>
    <row r="21" spans="1:35" ht="15" customHeight="1" thickBot="1">
      <c r="A21" s="1003"/>
      <c r="B21" s="2442" t="s">
        <v>2157</v>
      </c>
      <c r="C21" s="789">
        <f ca="1">ROUND(C19*10000/L19,0)</f>
        <v>5907</v>
      </c>
      <c r="D21" s="790">
        <f ca="1">ROUND(D19*10000/L19,0)</f>
        <v>2272</v>
      </c>
      <c r="E21" s="1003"/>
      <c r="F21" s="2442" t="s">
        <v>2157</v>
      </c>
      <c r="G21" s="149">
        <f ca="1">ROUND(G19*10000/L19,0)</f>
        <v>5907</v>
      </c>
      <c r="H21" s="2443" t="s">
        <v>2156</v>
      </c>
      <c r="I21" s="138"/>
    </row>
    <row r="22" spans="1:35" ht="15" thickBot="1">
      <c r="A22" s="2284" t="s">
        <v>2158</v>
      </c>
      <c r="B22" s="2444"/>
      <c r="C22" s="2445"/>
      <c r="D22" s="791">
        <f ca="1">IF(C19&lt;D19,D19/C19-1,C19/D19-1)</f>
        <v>1.5999645201348236</v>
      </c>
      <c r="E22" s="138"/>
      <c r="F22" s="138"/>
      <c r="G22" s="138"/>
      <c r="H22" s="138"/>
      <c r="I22" s="138"/>
    </row>
    <row r="23" spans="1:35" ht="13.5" thickBot="1">
      <c r="A23" s="2422"/>
      <c r="B23" s="2422"/>
      <c r="C23" s="2422"/>
      <c r="D23" s="2422"/>
      <c r="E23" s="138"/>
      <c r="F23" s="138"/>
      <c r="G23" s="138"/>
      <c r="H23" s="138"/>
      <c r="I23" s="138"/>
    </row>
    <row r="24" spans="1:35" ht="14.25">
      <c r="A24" s="3139" t="s">
        <v>2159</v>
      </c>
      <c r="B24" s="2439" t="s">
        <v>2151</v>
      </c>
      <c r="C24" s="145">
        <f>IF(B30=0,0,D30)</f>
        <v>0</v>
      </c>
      <c r="D24" s="2446"/>
      <c r="E24" s="138"/>
      <c r="F24" s="138"/>
      <c r="G24" s="138"/>
      <c r="H24" s="138"/>
      <c r="I24" s="138"/>
    </row>
    <row r="25" spans="1:35" ht="14.25">
      <c r="A25" s="3140"/>
      <c r="B25" s="1250" t="s">
        <v>2155</v>
      </c>
      <c r="C25" s="150">
        <f>IF(B30=0,0,C30)</f>
        <v>0</v>
      </c>
      <c r="D25" s="2447"/>
      <c r="E25" s="138"/>
      <c r="F25" s="138"/>
      <c r="G25" s="138"/>
      <c r="H25" s="138"/>
      <c r="I25" s="138"/>
    </row>
    <row r="26" spans="1:35" ht="13.5" customHeight="1">
      <c r="A26" s="2448" t="s">
        <v>2160</v>
      </c>
      <c r="B26" s="151" t="s">
        <v>2161</v>
      </c>
      <c r="C26" s="151" t="s">
        <v>2162</v>
      </c>
      <c r="D26" s="152" t="s">
        <v>2163</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2164</v>
      </c>
      <c r="B30" s="151"/>
      <c r="C30" s="151"/>
      <c r="D30" s="151"/>
      <c r="E30" s="2931" t="s">
        <v>3038</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2165</v>
      </c>
      <c r="B32" s="2452"/>
      <c r="C32" s="153">
        <f ca="1">IF(D32="总价",G19-C24,G20-C25)</f>
        <v>14656</v>
      </c>
      <c r="D32" s="2453" t="s">
        <v>3272</v>
      </c>
      <c r="E32" s="138"/>
      <c r="F32" s="138"/>
      <c r="G32" s="138"/>
      <c r="H32" s="138"/>
      <c r="I32" s="138"/>
    </row>
    <row r="33" spans="1:15" ht="15">
      <c r="A33" s="960" t="s">
        <v>2166</v>
      </c>
      <c r="B33" s="2454"/>
      <c r="C33" s="2455" t="s">
        <v>3273</v>
      </c>
      <c r="D33" s="2456" t="s">
        <v>3246</v>
      </c>
      <c r="E33" s="2457" t="s">
        <v>2167</v>
      </c>
      <c r="F33" s="2458" t="str">
        <f>IF(D32="楼面单价","取值（单价）","取值（总价）")</f>
        <v>取值（总价）</v>
      </c>
      <c r="G33" s="138"/>
      <c r="H33" s="138"/>
      <c r="I33" s="138"/>
    </row>
    <row r="34" spans="1:15" ht="15">
      <c r="A34" s="2459"/>
      <c r="B34" s="2460" t="s">
        <v>2168</v>
      </c>
      <c r="C34" s="157">
        <f ca="1">IF(C33="自定义",F34,C32-C35)</f>
        <v>4351</v>
      </c>
      <c r="D34" s="1058">
        <f ca="1">IF(C33="自定义",ROUND(C34/C32,3),IF(C33="收益比率",SUMIF(INDIRECT("'"&amp;D33&amp;"'"&amp;"!b:b"),"土地收益比率",INDIRECT("'"&amp;D33&amp;"'"&amp;"!c:c")),SUMIF(INDIRECT("'"&amp;D33&amp;"'"&amp;"!b:b"),"土地成本比率",INDIRECT("'"&amp;D33&amp;"'"&amp;"!c:c"))))</f>
        <v>0.29699999999999999</v>
      </c>
      <c r="E34" s="2461" t="s">
        <v>2169</v>
      </c>
      <c r="F34" s="1738">
        <f ca="1">成本法!C31</f>
        <v>4351</v>
      </c>
      <c r="G34" s="138"/>
      <c r="H34" s="138"/>
      <c r="I34" s="138"/>
    </row>
    <row r="35" spans="1:15" ht="15.75" thickBot="1">
      <c r="A35" s="2462"/>
      <c r="B35" s="2463" t="s">
        <v>2170</v>
      </c>
      <c r="C35" s="1444">
        <f ca="1">IF(C33="自定义",F35,ROUND(C32*D35,0))</f>
        <v>10305</v>
      </c>
      <c r="D35" s="1445">
        <f ca="1">IF(C33="自定义",ROUND(C35/C32,3),IF(C33="收益比率",SUMIF(INDIRECT("'"&amp;D33&amp;"'"&amp;"!b:b"),"建筑物收益比率",INDIRECT("'"&amp;D33&amp;"'"&amp;"!c:c")),SUMIF(INDIRECT("'"&amp;D33&amp;"'"&amp;"!b:b"),"建筑物成本比率",INDIRECT("'"&amp;D33&amp;"'"&amp;"!c:c"))))</f>
        <v>0.70299999999999996</v>
      </c>
      <c r="E35" s="2464" t="s">
        <v>2171</v>
      </c>
      <c r="F35" s="163">
        <f ca="1">成本法!C51</f>
        <v>10305</v>
      </c>
      <c r="G35" s="138"/>
      <c r="H35" s="138"/>
      <c r="I35" s="138"/>
    </row>
    <row r="36" spans="1:15" ht="15.75" thickBot="1">
      <c r="A36" s="3119" t="s">
        <v>2172</v>
      </c>
      <c r="B36" s="2465" t="s">
        <v>2173</v>
      </c>
      <c r="C36" s="154"/>
      <c r="D36" s="2466"/>
      <c r="E36" s="2467"/>
      <c r="F36" s="2468"/>
      <c r="G36" s="138"/>
      <c r="H36" s="138"/>
      <c r="I36" s="138"/>
    </row>
    <row r="37" spans="1:15" ht="15.75" thickBot="1">
      <c r="A37" s="3120"/>
      <c r="B37" s="2270" t="s">
        <v>2174</v>
      </c>
      <c r="C37" s="156"/>
      <c r="D37" s="1395"/>
      <c r="E37" s="1395"/>
      <c r="F37" s="2468"/>
      <c r="G37" s="138"/>
      <c r="H37" s="138"/>
      <c r="I37" s="138"/>
    </row>
    <row r="38" spans="1:15" ht="15.75" thickBot="1">
      <c r="A38" s="3121"/>
      <c r="B38" s="2469" t="s">
        <v>2175</v>
      </c>
      <c r="C38" s="727"/>
      <c r="D38" s="2470" t="s">
        <v>2176</v>
      </c>
      <c r="E38" s="1395"/>
      <c r="F38" s="2468"/>
      <c r="G38" s="138"/>
      <c r="H38" s="138"/>
      <c r="I38" s="138"/>
    </row>
    <row r="39" spans="1:15" ht="15">
      <c r="A39" s="2441" t="s">
        <v>2177</v>
      </c>
      <c r="B39" s="2471" t="s">
        <v>2178</v>
      </c>
      <c r="C39" s="2472" t="s">
        <v>2179</v>
      </c>
      <c r="D39" s="2472" t="s">
        <v>2180</v>
      </c>
      <c r="E39" s="2473" t="s">
        <v>2181</v>
      </c>
      <c r="F39" s="2468"/>
      <c r="G39" s="138"/>
      <c r="H39" s="138"/>
      <c r="I39" s="138"/>
    </row>
    <row r="40" spans="1:15" ht="14.25">
      <c r="A40" s="2474" t="s">
        <v>2182</v>
      </c>
      <c r="B40" s="158"/>
      <c r="C40" s="159"/>
      <c r="D40" s="159"/>
      <c r="E40" s="160"/>
      <c r="F40" s="2468"/>
      <c r="G40" s="138"/>
      <c r="H40" s="138"/>
      <c r="I40" s="138"/>
    </row>
    <row r="41" spans="1:15" ht="14.25">
      <c r="A41" s="2474" t="s">
        <v>2183</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2184</v>
      </c>
      <c r="B44" s="2479"/>
      <c r="C44" s="2479"/>
      <c r="D44" s="2480"/>
      <c r="E44" s="2480"/>
      <c r="F44" s="2481"/>
      <c r="G44" s="2481"/>
      <c r="H44" s="2481"/>
      <c r="I44" s="2481"/>
      <c r="J44" s="2482" t="s">
        <v>2185</v>
      </c>
      <c r="K44" s="2483"/>
      <c r="L44" s="2483"/>
      <c r="M44" s="2483"/>
      <c r="N44" s="2483"/>
      <c r="O44" s="2483"/>
    </row>
    <row r="45" spans="1:15" ht="14.25" customHeight="1" thickBot="1">
      <c r="A45" s="3136" t="s">
        <v>2186</v>
      </c>
      <c r="B45" s="3137"/>
      <c r="C45" s="3138"/>
      <c r="D45" s="164">
        <f ca="1">ROUND(H101*F45,0)</f>
        <v>14656</v>
      </c>
      <c r="E45" s="165" t="s">
        <v>2187</v>
      </c>
      <c r="F45" s="166">
        <v>1</v>
      </c>
      <c r="G45" s="167" t="s">
        <v>2188</v>
      </c>
      <c r="H45" s="138"/>
      <c r="I45" s="138"/>
      <c r="J45" s="3055" t="s">
        <v>2189</v>
      </c>
      <c r="K45" s="3055"/>
      <c r="L45" s="3055"/>
      <c r="M45" s="3055"/>
      <c r="N45" s="3055"/>
      <c r="O45" s="3055"/>
    </row>
    <row r="46" spans="1:15" ht="14.25" customHeight="1">
      <c r="A46" s="3133" t="s">
        <v>2190</v>
      </c>
      <c r="B46" s="3134"/>
      <c r="C46" s="3134"/>
      <c r="D46" s="3134"/>
      <c r="E46" s="3134"/>
      <c r="F46" s="3134"/>
      <c r="G46" s="3135"/>
      <c r="H46" s="2484"/>
      <c r="I46" s="168"/>
      <c r="J46" s="1811">
        <v>1</v>
      </c>
      <c r="K46" s="3055" t="s">
        <v>2191</v>
      </c>
      <c r="L46" s="3055"/>
      <c r="M46" s="3056"/>
      <c r="N46" s="3056"/>
      <c r="O46" s="3056"/>
    </row>
    <row r="47" spans="1:15" ht="12" customHeight="1">
      <c r="A47" s="169" t="s">
        <v>2192</v>
      </c>
      <c r="B47" s="170"/>
      <c r="C47" s="171"/>
      <c r="D47" s="172" t="s">
        <v>2193</v>
      </c>
      <c r="E47" s="24" t="s">
        <v>2194</v>
      </c>
      <c r="F47" s="173" t="s">
        <v>2195</v>
      </c>
      <c r="G47" s="174" t="s">
        <v>2196</v>
      </c>
      <c r="H47" s="2484"/>
      <c r="I47" s="168"/>
      <c r="J47" s="1811">
        <v>2</v>
      </c>
      <c r="K47" s="3055" t="s">
        <v>2197</v>
      </c>
      <c r="L47" s="3055"/>
      <c r="M47" s="3057">
        <f>'数据-取费表'!B2</f>
        <v>43416</v>
      </c>
      <c r="N47" s="3057"/>
      <c r="O47" s="3057"/>
    </row>
    <row r="48" spans="1:15" ht="25.5">
      <c r="A48" s="3123" t="s">
        <v>2198</v>
      </c>
      <c r="B48" s="3124"/>
      <c r="C48" s="3124"/>
      <c r="D48" s="140">
        <f>IF(H48="情况1",0,IF(H48="情况2",D52,IF(H48="情况3",D53,IF(H48="情况4",D54))))</f>
        <v>0</v>
      </c>
      <c r="E48" s="1800" t="str">
        <f>IF(H48="情况4","(销售额-原购置价)×税（费）率","销售额×税（费）率")</f>
        <v>销售额×税（费）率</v>
      </c>
      <c r="F48" s="175" t="str">
        <f>IF(H48="情况1","免征",'数据-取费表'!B41)</f>
        <v>免征</v>
      </c>
      <c r="G48" s="2485" t="s">
        <v>2199</v>
      </c>
      <c r="H48" s="2486" t="s">
        <v>2200</v>
      </c>
      <c r="I48" s="2484"/>
      <c r="J48" s="1811">
        <v>3</v>
      </c>
      <c r="K48" s="3055" t="s">
        <v>2201</v>
      </c>
      <c r="L48" s="3055"/>
      <c r="M48" s="3058">
        <f ca="1">H101</f>
        <v>14656</v>
      </c>
      <c r="N48" s="3058"/>
      <c r="O48" s="3058"/>
    </row>
    <row r="49" spans="1:35" ht="25.5" customHeight="1">
      <c r="A49" s="176" t="s">
        <v>2202</v>
      </c>
      <c r="B49" s="3103" t="s">
        <v>2203</v>
      </c>
      <c r="C49" s="3103"/>
      <c r="D49" s="177">
        <v>0</v>
      </c>
      <c r="E49" s="23" t="s">
        <v>2204</v>
      </c>
      <c r="F49" s="28" t="s">
        <v>34</v>
      </c>
      <c r="G49" s="3084"/>
      <c r="H49" s="138"/>
      <c r="I49" s="2487"/>
      <c r="J49" s="1811">
        <v>4</v>
      </c>
      <c r="K49" s="3055" t="str">
        <f>IF(项目基本情况!E8="房地产抵押价值","房地产抵押价值","抵押担保权已注销时的房地产抵押价值")</f>
        <v>抵押担保权已注销时的房地产抵押价值</v>
      </c>
      <c r="L49" s="3055"/>
      <c r="M49" s="3058" t="str">
        <f>IF(项目基本情况!E8="房地产抵押价值",H107,H109)</f>
        <v>——</v>
      </c>
      <c r="N49" s="3058"/>
      <c r="O49" s="3058"/>
    </row>
    <row r="50" spans="1:35" ht="25.5" customHeight="1">
      <c r="A50" s="178"/>
      <c r="B50" s="3103" t="s">
        <v>2205</v>
      </c>
      <c r="C50" s="3103"/>
      <c r="D50" s="179"/>
      <c r="E50" s="31"/>
      <c r="F50" s="180"/>
      <c r="G50" s="3085"/>
      <c r="H50" s="138"/>
      <c r="I50" s="2487"/>
      <c r="J50" s="3055" t="s">
        <v>2206</v>
      </c>
      <c r="K50" s="3055"/>
      <c r="L50" s="3055"/>
      <c r="M50" s="3055"/>
      <c r="N50" s="3055"/>
      <c r="O50" s="3055"/>
    </row>
    <row r="51" spans="1:35" ht="12" customHeight="1">
      <c r="A51" s="181"/>
      <c r="B51" s="3103" t="s">
        <v>2207</v>
      </c>
      <c r="C51" s="3103"/>
      <c r="D51" s="182"/>
      <c r="E51" s="30"/>
      <c r="F51" s="180"/>
      <c r="G51" s="3086"/>
      <c r="H51" s="138"/>
      <c r="I51" s="2487"/>
      <c r="J51" s="2488" t="s">
        <v>2208</v>
      </c>
      <c r="K51" s="3055" t="s">
        <v>2209</v>
      </c>
      <c r="L51" s="3055"/>
      <c r="M51" s="2488" t="s">
        <v>2210</v>
      </c>
      <c r="N51" s="2488" t="s">
        <v>2211</v>
      </c>
      <c r="O51" s="2488" t="s">
        <v>2212</v>
      </c>
    </row>
    <row r="52" spans="1:35" ht="24" customHeight="1">
      <c r="A52" s="183" t="s">
        <v>2213</v>
      </c>
      <c r="B52" s="3103" t="s">
        <v>2214</v>
      </c>
      <c r="C52" s="3103"/>
      <c r="D52" s="182">
        <f ca="1">ROUND(D45*'数据-取费表'!B41/(1+'数据-取费表'!C42),0)</f>
        <v>782</v>
      </c>
      <c r="E52" s="11" t="s">
        <v>2215</v>
      </c>
      <c r="F52" s="184">
        <f>'数据-取费表'!B41</f>
        <v>5.6000000000000001E-2</v>
      </c>
      <c r="G52" s="2489"/>
      <c r="H52" s="138"/>
      <c r="I52" s="2487"/>
      <c r="J52" s="1811">
        <v>1</v>
      </c>
      <c r="K52" s="3078" t="s">
        <v>2216</v>
      </c>
      <c r="L52" s="3078"/>
      <c r="M52" s="1753">
        <f>D48</f>
        <v>0</v>
      </c>
      <c r="N52" s="1811" t="str">
        <f>E48</f>
        <v>销售额×税（费）率</v>
      </c>
      <c r="O52" s="1754" t="str">
        <f>F48</f>
        <v>免征</v>
      </c>
    </row>
    <row r="53" spans="1:35" ht="12" customHeight="1">
      <c r="A53" s="183" t="s">
        <v>2217</v>
      </c>
      <c r="B53" s="3104" t="s">
        <v>2218</v>
      </c>
      <c r="C53" s="3105"/>
      <c r="D53" s="182">
        <f ca="1">ROUND(D45*'数据-取费表'!B41/(1+'数据-取费表'!C42),0)</f>
        <v>782</v>
      </c>
      <c r="E53" s="11" t="s">
        <v>2215</v>
      </c>
      <c r="F53" s="184">
        <f>'数据-取费表'!B41</f>
        <v>5.6000000000000001E-2</v>
      </c>
      <c r="G53" s="2489"/>
      <c r="H53" s="138"/>
      <c r="I53" s="2487"/>
      <c r="J53" s="1811">
        <v>2</v>
      </c>
      <c r="K53" s="3078" t="s">
        <v>2219</v>
      </c>
      <c r="L53" s="3078"/>
      <c r="M53" s="1753">
        <f t="shared" ref="M53:O54" ca="1" si="0">D55</f>
        <v>7</v>
      </c>
      <c r="N53" s="1811" t="str">
        <f t="shared" si="0"/>
        <v>销售额×税（费）率</v>
      </c>
      <c r="O53" s="1754">
        <f t="shared" si="0"/>
        <v>5.0000000000000001E-4</v>
      </c>
    </row>
    <row r="54" spans="1:35" ht="12" customHeight="1">
      <c r="A54" s="183" t="s">
        <v>2220</v>
      </c>
      <c r="B54" s="3104" t="s">
        <v>2221</v>
      </c>
      <c r="C54" s="3105"/>
      <c r="D54" s="182">
        <f ca="1">C68</f>
        <v>782</v>
      </c>
      <c r="E54" s="30" t="s">
        <v>2222</v>
      </c>
      <c r="F54" s="184">
        <f>'数据-取费表'!B41</f>
        <v>5.6000000000000001E-2</v>
      </c>
      <c r="G54" s="2489"/>
      <c r="H54" s="2490"/>
      <c r="I54" s="2487"/>
      <c r="J54" s="1811">
        <v>3</v>
      </c>
      <c r="K54" s="3078" t="s">
        <v>2223</v>
      </c>
      <c r="L54" s="3078"/>
      <c r="M54" s="1753">
        <f t="shared" ca="1" si="0"/>
        <v>8295</v>
      </c>
      <c r="N54" s="1811" t="str">
        <f t="shared" si="0"/>
        <v>增值额×税（费）率</v>
      </c>
      <c r="O54" s="1755" t="str">
        <f t="shared" si="0"/>
        <v>——</v>
      </c>
    </row>
    <row r="55" spans="1:35" ht="24" customHeight="1">
      <c r="A55" s="3142" t="s">
        <v>2224</v>
      </c>
      <c r="B55" s="3124"/>
      <c r="C55" s="3124"/>
      <c r="D55" s="185">
        <f ca="1">IF(H55="个人住宅",0,ROUND(D45*I55,0))</f>
        <v>7</v>
      </c>
      <c r="E55" s="11" t="s">
        <v>2225</v>
      </c>
      <c r="F55" s="184">
        <f>IF(H55="正常",I55,"免征")</f>
        <v>5.0000000000000001E-4</v>
      </c>
      <c r="G55" s="2489"/>
      <c r="H55" s="2486" t="s">
        <v>2226</v>
      </c>
      <c r="I55" s="186">
        <f>'数据-取费表'!B49</f>
        <v>5.0000000000000001E-4</v>
      </c>
      <c r="J55" s="1811" t="str">
        <f>IF(H59="非个人房产","",4)</f>
        <v/>
      </c>
      <c r="K55" s="3078" t="str">
        <f>IF(H59="非个人房产","——","个人所得税")</f>
        <v>——</v>
      </c>
      <c r="L55" s="3078"/>
      <c r="M55" s="1756" t="str">
        <f>D59</f>
        <v>——</v>
      </c>
      <c r="N55" s="1809" t="str">
        <f>E59</f>
        <v>——</v>
      </c>
      <c r="O55" s="1757" t="str">
        <f>F59</f>
        <v>——</v>
      </c>
    </row>
    <row r="56" spans="1:35" ht="24.75">
      <c r="A56" s="3142" t="s">
        <v>2227</v>
      </c>
      <c r="B56" s="3124"/>
      <c r="C56" s="3124"/>
      <c r="D56" s="185">
        <f ca="1">IF(H56="个人住宅",D57,D58)</f>
        <v>8295</v>
      </c>
      <c r="E56" s="11" t="s">
        <v>2228</v>
      </c>
      <c r="F56" s="184" t="str">
        <f>IF(H56="正常",F58,"免征")</f>
        <v>——</v>
      </c>
      <c r="G56" s="2491" t="s">
        <v>2229</v>
      </c>
      <c r="H56" s="2492" t="s">
        <v>2226</v>
      </c>
      <c r="I56" s="2493"/>
      <c r="J56" s="1811" t="str">
        <f>IF(项目基本情况!K6="上海银行",IF(J55="",4,J55+1),"")</f>
        <v/>
      </c>
      <c r="K56" s="3061" t="str">
        <f>IF(项目基本情况!K6="上海银行","其他处置费用","")</f>
        <v/>
      </c>
      <c r="L56" s="3062"/>
      <c r="M56" s="1753" t="str">
        <f>IF(项目基本情况!K6="上海银行",M69,"")</f>
        <v/>
      </c>
      <c r="N56" s="3064" t="str">
        <f>IF(项目基本情况!K6="上海银行","包含处置中涉及的律师、诉讼、拍卖、评估等费用","")</f>
        <v/>
      </c>
      <c r="O56" s="3065"/>
    </row>
    <row r="57" spans="1:35" ht="12.75">
      <c r="A57" s="183" t="s">
        <v>2202</v>
      </c>
      <c r="B57" s="3109" t="s">
        <v>2230</v>
      </c>
      <c r="C57" s="3110"/>
      <c r="D57" s="187">
        <v>0</v>
      </c>
      <c r="E57" s="23" t="s">
        <v>2204</v>
      </c>
      <c r="F57" s="155"/>
      <c r="G57" s="2489"/>
      <c r="H57" s="2493"/>
      <c r="I57" s="2493"/>
      <c r="J57" s="3078">
        <f>IF(AND(J55="",J56=""),4,IF(项目基本情况!K6="上海银行",结果表!J56+1,结果表!J55+1))</f>
        <v>4</v>
      </c>
      <c r="K57" s="3078" t="s">
        <v>2231</v>
      </c>
      <c r="L57" s="2494" t="s">
        <v>2232</v>
      </c>
      <c r="M57" s="1758"/>
      <c r="N57" s="1759">
        <f ca="1">SUMIF(M52:M56,"&lt;9e307")</f>
        <v>8302</v>
      </c>
      <c r="O57" s="2495"/>
      <c r="P57" s="1752" t="e">
        <f ca="1">N57/M49</f>
        <v>#VALUE!</v>
      </c>
    </row>
    <row r="58" spans="1:35" ht="24.75">
      <c r="A58" s="183" t="s">
        <v>2213</v>
      </c>
      <c r="B58" s="3109" t="s">
        <v>2233</v>
      </c>
      <c r="C58" s="3122"/>
      <c r="D58" s="185">
        <f ca="1">IF(H58="转让取得",C81,C97)</f>
        <v>8295</v>
      </c>
      <c r="E58" s="11" t="s">
        <v>2228</v>
      </c>
      <c r="F58" s="24" t="s">
        <v>34</v>
      </c>
      <c r="G58" s="2489"/>
      <c r="H58" s="2492" t="s">
        <v>2234</v>
      </c>
      <c r="I58" s="2493"/>
      <c r="J58" s="3078"/>
      <c r="K58" s="3078"/>
      <c r="L58" s="2494" t="s">
        <v>2235</v>
      </c>
      <c r="M58" s="1760"/>
      <c r="N58" s="2496" t="str">
        <f ca="1">NUMBERSTRING(INT(N57*10000),2)&amp;"元整"</f>
        <v>捌仟叁佰零贰万元整</v>
      </c>
      <c r="O58" s="2497"/>
    </row>
    <row r="59" spans="1:35" ht="24.75" thickBot="1">
      <c r="A59" s="3082" t="s">
        <v>2236</v>
      </c>
      <c r="B59" s="3083"/>
      <c r="C59" s="3083"/>
      <c r="D59" s="188" t="str">
        <f>IF(H59="非个人房产","——",IF(H59="个人住宅",0,ROUND(D45*I59,0)))</f>
        <v>——</v>
      </c>
      <c r="E59" s="189" t="str">
        <f>IF(H59="非个人房产","——","销售额×税（费）率")</f>
        <v>——</v>
      </c>
      <c r="F59" s="190" t="str">
        <f>IF(H59="非个人房产","——",IF(H59="个人住宅","免征",I59))</f>
        <v>——</v>
      </c>
      <c r="G59" s="2498" t="s">
        <v>2229</v>
      </c>
      <c r="H59" s="2492" t="s">
        <v>2237</v>
      </c>
      <c r="I59" s="191">
        <v>0.01</v>
      </c>
      <c r="J59" s="3080">
        <f>J57+1</f>
        <v>5</v>
      </c>
      <c r="K59" s="3078" t="s">
        <v>2238</v>
      </c>
      <c r="L59" s="1811" t="s">
        <v>2232</v>
      </c>
      <c r="M59" s="1761"/>
      <c r="N59" s="1762" t="e">
        <f ca="1">M49-N57</f>
        <v>#VALUE!</v>
      </c>
      <c r="O59" s="2499"/>
    </row>
    <row r="60" spans="1:35" ht="12" customHeight="1">
      <c r="A60" s="2500"/>
      <c r="B60" s="2422"/>
      <c r="C60" s="2422"/>
      <c r="D60" s="2422"/>
      <c r="E60" s="2169"/>
      <c r="F60" s="2493"/>
      <c r="G60" s="2493"/>
      <c r="H60" s="2501"/>
      <c r="I60" s="138"/>
      <c r="J60" s="3081"/>
      <c r="K60" s="3078"/>
      <c r="L60" s="2494" t="s">
        <v>2235</v>
      </c>
      <c r="M60" s="1760"/>
      <c r="N60" s="2496" t="e">
        <f ca="1">NUMBERSTRING(INT(N59*10000),2)&amp;"元整"</f>
        <v>#VALUE!</v>
      </c>
      <c r="O60" s="2497"/>
    </row>
    <row r="61" spans="1:35" ht="13.5" thickBot="1">
      <c r="A61" s="3141" t="s">
        <v>2239</v>
      </c>
      <c r="B61" s="3141"/>
      <c r="C61" s="3141"/>
      <c r="D61" s="3141"/>
      <c r="E61" s="3141"/>
      <c r="F61" s="2493"/>
      <c r="G61" s="2493"/>
      <c r="H61" s="2501"/>
      <c r="I61" s="138"/>
      <c r="J61" s="1811">
        <f>J59+1</f>
        <v>6</v>
      </c>
      <c r="K61" s="3078" t="s">
        <v>2240</v>
      </c>
      <c r="L61" s="3078"/>
      <c r="M61" s="1763"/>
      <c r="N61" s="1764" t="e">
        <f ca="1">ROUND(N59*10000/'数据-汇总表'!E3,0)</f>
        <v>#VALUE!</v>
      </c>
      <c r="O61" s="2502"/>
    </row>
    <row r="62" spans="1:35" ht="12.75">
      <c r="A62" s="3098" t="s">
        <v>2241</v>
      </c>
      <c r="B62" s="3099"/>
      <c r="C62" s="1803"/>
      <c r="D62" s="1803" t="s">
        <v>2242</v>
      </c>
      <c r="E62" s="192" t="s">
        <v>2243</v>
      </c>
      <c r="F62" s="2493"/>
      <c r="G62" s="2493"/>
      <c r="H62" s="2501"/>
      <c r="I62" s="138"/>
    </row>
    <row r="63" spans="1:35" ht="12.75">
      <c r="A63" s="203" t="s">
        <v>775</v>
      </c>
      <c r="B63" s="193" t="s">
        <v>2244</v>
      </c>
      <c r="C63" s="194">
        <f ca="1">ROUND((C64+C65)/(1+'数据-取费表'!C42),0)</f>
        <v>13958</v>
      </c>
      <c r="D63" s="195"/>
      <c r="E63" s="196"/>
      <c r="F63" s="2493"/>
      <c r="G63" s="2493"/>
      <c r="H63" s="2501"/>
      <c r="I63" s="138"/>
      <c r="J63" s="3063" t="s">
        <v>2245</v>
      </c>
      <c r="K63" s="2503" t="s">
        <v>2246</v>
      </c>
      <c r="L63" s="1751" t="e">
        <f>IF(M49&gt;10000,M49*0.5%,IF(AND(M49&gt;1000,M49&lt;=10000),M49*1%,IF(AND(M49&gt;100,M49&lt;=1000),M49*3%,IF(AND(M49&gt;10,M49&lt;=100),M49*5%,M49*8%))))</f>
        <v>#VALUE!</v>
      </c>
      <c r="M63" s="24" t="e">
        <f>ROUND(L63,1)</f>
        <v>#VALUE!</v>
      </c>
      <c r="Z63" s="2427"/>
      <c r="AI63" s="2428"/>
    </row>
    <row r="64" spans="1:35" ht="14.25" customHeight="1">
      <c r="A64" s="197" t="s">
        <v>770</v>
      </c>
      <c r="B64" s="198" t="s">
        <v>2247</v>
      </c>
      <c r="C64" s="199">
        <f ca="1">D45</f>
        <v>14656</v>
      </c>
      <c r="D64" s="200" t="s">
        <v>32</v>
      </c>
      <c r="E64" s="201"/>
      <c r="F64" s="2493"/>
      <c r="G64" s="2493"/>
      <c r="H64" s="2501"/>
      <c r="I64" s="138"/>
      <c r="J64" s="3063"/>
      <c r="K64" s="2503" t="s">
        <v>2248</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2249</v>
      </c>
      <c r="Z64" s="2427"/>
      <c r="AI64" s="2428"/>
    </row>
    <row r="65" spans="1:35" ht="14.25" customHeight="1">
      <c r="A65" s="197" t="s">
        <v>771</v>
      </c>
      <c r="B65" s="198" t="s">
        <v>2250</v>
      </c>
      <c r="C65" s="202"/>
      <c r="D65" s="200"/>
      <c r="E65" s="201"/>
      <c r="F65" s="2493"/>
      <c r="G65" s="2493"/>
      <c r="H65" s="2501"/>
      <c r="I65" s="138"/>
      <c r="J65" s="3063"/>
      <c r="K65" s="2503" t="s">
        <v>2251</v>
      </c>
      <c r="L65" s="1751" t="e">
        <f>IF(M49&gt;1000,M49*0.1%,IF(AND(M49&gt;500,M49&lt;=1000),M49*0.5%,IF(AND(M49&gt;50,M49&lt;=500),M49*1%,IF(AND(M49&gt;1,M49&lt;=50),M49*1.5%))))</f>
        <v>#VALUE!</v>
      </c>
      <c r="M65" s="24" t="e">
        <f t="shared" si="1"/>
        <v>#VALUE!</v>
      </c>
      <c r="N65" s="138" t="s">
        <v>2249</v>
      </c>
      <c r="Z65" s="2427"/>
      <c r="AI65" s="2428"/>
    </row>
    <row r="66" spans="1:35" ht="14.25" customHeight="1">
      <c r="A66" s="203" t="s">
        <v>772</v>
      </c>
      <c r="B66" s="204" t="s">
        <v>2252</v>
      </c>
      <c r="C66" s="205"/>
      <c r="D66" s="206" t="s">
        <v>32</v>
      </c>
      <c r="E66" s="1775" t="s">
        <v>1371</v>
      </c>
      <c r="F66" s="2493"/>
      <c r="G66" s="2493"/>
      <c r="H66" s="2501"/>
      <c r="I66" s="138"/>
      <c r="J66" s="3063"/>
      <c r="K66" s="2503" t="s">
        <v>2253</v>
      </c>
      <c r="L66" s="1751" t="e">
        <f>M49*0.5%</f>
        <v>#VALUE!</v>
      </c>
      <c r="M66" s="24" t="e">
        <f>IF(L66&gt;0.5,0.5,ROUND(L66,0))</f>
        <v>#VALUE!</v>
      </c>
      <c r="N66" s="138" t="s">
        <v>2254</v>
      </c>
      <c r="Z66" s="2427"/>
      <c r="AI66" s="2428"/>
    </row>
    <row r="67" spans="1:35" ht="14.25" customHeight="1">
      <c r="A67" s="203" t="s">
        <v>773</v>
      </c>
      <c r="B67" s="204" t="s">
        <v>2255</v>
      </c>
      <c r="C67" s="207">
        <f ca="1">C63-C66</f>
        <v>13958</v>
      </c>
      <c r="D67" s="200" t="s">
        <v>32</v>
      </c>
      <c r="E67" s="201"/>
      <c r="F67" s="2493"/>
      <c r="G67" s="2493"/>
      <c r="H67" s="2501"/>
      <c r="I67" s="138"/>
      <c r="J67" s="3063"/>
      <c r="K67" s="2503" t="s">
        <v>2256</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2257</v>
      </c>
      <c r="C68" s="210">
        <f ca="1">IF(C67&lt;=0,0,ROUND(C67*D68,0))</f>
        <v>782</v>
      </c>
      <c r="D68" s="211">
        <f>'数据-取费表'!B41</f>
        <v>5.6000000000000001E-2</v>
      </c>
      <c r="E68" s="212"/>
      <c r="F68" s="2493"/>
      <c r="G68" s="2493"/>
      <c r="H68" s="2501"/>
      <c r="I68" s="138"/>
      <c r="J68" s="3063"/>
      <c r="K68" s="2503" t="s">
        <v>2258</v>
      </c>
      <c r="L68" s="1751"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69"/>
      <c r="G69" s="2169"/>
      <c r="H69" s="2168"/>
      <c r="I69" s="2422"/>
      <c r="J69" s="3063"/>
      <c r="K69" s="2503" t="s">
        <v>2259</v>
      </c>
      <c r="L69" s="2509"/>
      <c r="M69" s="24" t="e">
        <f>ROUND(SUM(M63:M68),0)</f>
        <v>#VALUE!</v>
      </c>
      <c r="N69" s="1752"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07" t="s">
        <v>2260</v>
      </c>
      <c r="B70" s="3108"/>
      <c r="C70" s="3108"/>
      <c r="D70" s="3108"/>
      <c r="E70" s="3108"/>
      <c r="F70" s="3108"/>
      <c r="G70" s="3108"/>
      <c r="H70" s="3108"/>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8" t="s">
        <v>2241</v>
      </c>
      <c r="B71" s="3099"/>
      <c r="C71" s="1803"/>
      <c r="D71" s="1803" t="s">
        <v>2242</v>
      </c>
      <c r="E71" s="213" t="s">
        <v>2243</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2261</v>
      </c>
      <c r="C72" s="207">
        <f ca="1">ROUND(D45/(1+'数据-取费表'!C42),0)</f>
        <v>13958</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2262</v>
      </c>
      <c r="C73" s="207">
        <f ca="1">C74+C78</f>
        <v>84</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2263</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2264</v>
      </c>
      <c r="C75" s="218"/>
      <c r="D75" s="200" t="s">
        <v>32</v>
      </c>
      <c r="E75" s="219" t="s">
        <v>2265</v>
      </c>
      <c r="F75" s="2515" t="s">
        <v>2266</v>
      </c>
      <c r="G75" s="219" t="s">
        <v>2267</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2268</v>
      </c>
      <c r="C76" s="200">
        <f>IF(F75="购房发票",ROUND(C75*H75*D76,0),0)</f>
        <v>0</v>
      </c>
      <c r="D76" s="222">
        <v>0.05</v>
      </c>
      <c r="E76" s="3104" t="s">
        <v>2269</v>
      </c>
      <c r="F76" s="3103"/>
      <c r="G76" s="3103"/>
      <c r="H76" s="3106"/>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7" t="s">
        <v>2272</v>
      </c>
      <c r="H77" s="1807" t="str">
        <f>IF(G77="个人买卖住房","免征印花税"," ")</f>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2273</v>
      </c>
      <c r="C78" s="225">
        <f ca="1">ROUND(D45*D78/(1+'数据-取费表'!C42),0)</f>
        <v>84</v>
      </c>
      <c r="D78" s="226">
        <f>'数据-取费表'!B43</f>
        <v>6.000000000000001E-3</v>
      </c>
      <c r="E78" s="3095" t="s">
        <v>2274</v>
      </c>
      <c r="F78" s="3096"/>
      <c r="G78" s="3096"/>
      <c r="H78" s="3097"/>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2275</v>
      </c>
      <c r="C79" s="207">
        <f ca="1">C72-C73</f>
        <v>13874</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2276</v>
      </c>
      <c r="C80" s="227">
        <f ca="1">IF(C79&lt;=0,0,C79/C73)</f>
        <v>165.16666666666666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2277</v>
      </c>
      <c r="C81" s="228">
        <f ca="1">ROUND(IF(C79&lt;=0,0,IF(C80&gt;=200%,C79*60%-C73*35%,IF(C80&gt;=100%,C79*50%-C73*15%,IF(C80&gt;=50%,C79*40%-C73*5%,IF(C80&lt;50%,C79*30%,0))))),0)</f>
        <v>8295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7" t="s">
        <v>2278</v>
      </c>
      <c r="B83" s="3108"/>
      <c r="C83" s="3108"/>
      <c r="D83" s="3108"/>
      <c r="E83" s="3108"/>
      <c r="F83" s="3108"/>
      <c r="G83" s="3108"/>
      <c r="H83" s="3108"/>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8" t="s">
        <v>2241</v>
      </c>
      <c r="B84" s="3099"/>
      <c r="C84" s="1803"/>
      <c r="D84" s="1803" t="s">
        <v>2242</v>
      </c>
      <c r="E84" s="213" t="s">
        <v>2243</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2261</v>
      </c>
      <c r="C85" s="207">
        <f ca="1">ROUND(D45/(1+'数据-取费表'!C42),0)</f>
        <v>13958</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2262</v>
      </c>
      <c r="C86" s="207">
        <f ca="1">IF(H88="仅含出让金",C87+C90+C91+C92+C93+C94,C87+C91+C92+C93+C94)</f>
        <v>84</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2279</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2280</v>
      </c>
      <c r="C88" s="236"/>
      <c r="D88" s="226"/>
      <c r="E88" s="237" t="s">
        <v>2281</v>
      </c>
      <c r="F88" s="1799"/>
      <c r="G88" s="238" t="s">
        <v>2282</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2270</v>
      </c>
      <c r="C89" s="225">
        <f>ROUND(C88*D89,0)</f>
        <v>0</v>
      </c>
      <c r="D89" s="226">
        <f>'数据-取费表'!B48+'数据-取费表'!B49</f>
        <v>3.0499999999999999E-2</v>
      </c>
      <c r="E89" s="237" t="s">
        <v>2283</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2284</v>
      </c>
      <c r="C90" s="236"/>
      <c r="D90" s="226"/>
      <c r="E90" s="237" t="str">
        <f>IF(H88="-","土地取得成本中已包含该笔费用"," ")</f>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2285</v>
      </c>
      <c r="B91" s="198" t="s">
        <v>2286</v>
      </c>
      <c r="C91" s="225">
        <f>IF(H91="——",成本法!C33,I91)</f>
        <v>0</v>
      </c>
      <c r="D91" s="226"/>
      <c r="E91" s="3095" t="s">
        <v>2287</v>
      </c>
      <c r="F91" s="3096"/>
      <c r="G91" s="3096"/>
      <c r="H91" s="2522" t="s">
        <v>2288</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2289</v>
      </c>
      <c r="B92" s="198" t="s">
        <v>2290</v>
      </c>
      <c r="C92" s="225">
        <f>ROUND((C87+C90+C91)*D92,0)</f>
        <v>0</v>
      </c>
      <c r="D92" s="226">
        <v>0.1</v>
      </c>
      <c r="E92" s="3095" t="s">
        <v>2291</v>
      </c>
      <c r="F92" s="3096"/>
      <c r="G92" s="3096"/>
      <c r="H92" s="3097"/>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2292</v>
      </c>
      <c r="B93" s="198" t="s">
        <v>2273</v>
      </c>
      <c r="C93" s="225">
        <f ca="1">ROUND(D45*D93/(1+'数据-取费表'!C42),0)</f>
        <v>84</v>
      </c>
      <c r="D93" s="226">
        <f>'数据-取费表'!B43</f>
        <v>6.000000000000001E-3</v>
      </c>
      <c r="E93" s="3095" t="s">
        <v>2274</v>
      </c>
      <c r="F93" s="3096"/>
      <c r="G93" s="3096"/>
      <c r="H93" s="3097"/>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2293</v>
      </c>
      <c r="B94" s="198" t="s">
        <v>2294</v>
      </c>
      <c r="C94" s="236">
        <f>ROUND((C87+C90+C91)*D94,0)</f>
        <v>0</v>
      </c>
      <c r="D94" s="226">
        <v>0.2</v>
      </c>
      <c r="E94" s="3143" t="s">
        <v>2295</v>
      </c>
      <c r="F94" s="3144"/>
      <c r="G94" s="3144"/>
      <c r="H94" s="3145"/>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2275</v>
      </c>
      <c r="C95" s="207">
        <f ca="1">ROUND(C85-C86,0)</f>
        <v>13874</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2276</v>
      </c>
      <c r="C96" s="227">
        <f ca="1">IF(C95&lt;=0,0,C95/C86)</f>
        <v>165.16666666666666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2277</v>
      </c>
      <c r="C97" s="228">
        <f ca="1">ROUND(IF(C95&lt;=0,0,IF(C96&gt;=200%,C95*60%-C86*35%,IF(C96&gt;=100%,C95*50%-C86*15%,IF(C96&gt;=50%,C95*40%-C86*5%,IF(C96&lt;50%,C95*30%,0))))),0)</f>
        <v>8295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2296</v>
      </c>
      <c r="B99" s="2422"/>
      <c r="C99" s="2422"/>
      <c r="D99" s="2422"/>
      <c r="E99" s="2169"/>
      <c r="F99" s="2169"/>
      <c r="G99" s="2169"/>
      <c r="H99" s="2168"/>
      <c r="I99" s="138"/>
    </row>
    <row r="100" spans="1:35" ht="18.75" customHeight="1">
      <c r="A100" s="3047" t="s">
        <v>2297</v>
      </c>
      <c r="B100" s="3048"/>
      <c r="C100" s="3048"/>
      <c r="D100" s="3079"/>
      <c r="E100" s="3048" t="s">
        <v>2298</v>
      </c>
      <c r="F100" s="3048"/>
      <c r="G100" s="3048"/>
      <c r="H100" s="3079"/>
      <c r="I100" s="138"/>
    </row>
    <row r="101" spans="1:35" ht="18.75" customHeight="1">
      <c r="A101" s="3087" t="s">
        <v>2299</v>
      </c>
      <c r="B101" s="3088"/>
      <c r="C101" s="736" t="str">
        <f>C4</f>
        <v>成本法</v>
      </c>
      <c r="D101" s="737" t="str">
        <f>D4</f>
        <v>收益法</v>
      </c>
      <c r="E101" s="3059" t="s">
        <v>2300</v>
      </c>
      <c r="F101" s="3060"/>
      <c r="G101" s="2524" t="s">
        <v>2301</v>
      </c>
      <c r="H101" s="1048">
        <f ca="1">H118</f>
        <v>14656</v>
      </c>
      <c r="I101" s="138"/>
    </row>
    <row r="102" spans="1:35" ht="18.75" customHeight="1">
      <c r="A102" s="3089" t="s">
        <v>2302</v>
      </c>
      <c r="B102" s="2524" t="s">
        <v>2301</v>
      </c>
      <c r="C102" s="736">
        <f ca="1">C19</f>
        <v>14656</v>
      </c>
      <c r="D102" s="737">
        <f ca="1">D19</f>
        <v>5637</v>
      </c>
      <c r="E102" s="3059"/>
      <c r="F102" s="3060"/>
      <c r="G102" s="2524" t="s">
        <v>2303</v>
      </c>
      <c r="H102" s="371">
        <f ca="1">I118</f>
        <v>8898</v>
      </c>
      <c r="I102" s="138"/>
    </row>
    <row r="103" spans="1:35" ht="42.75" customHeight="1">
      <c r="A103" s="3089"/>
      <c r="B103" s="2524" t="s">
        <v>2303</v>
      </c>
      <c r="C103" s="738">
        <f ca="1">C20</f>
        <v>8915</v>
      </c>
      <c r="D103" s="739">
        <f ca="1">D20</f>
        <v>3429</v>
      </c>
      <c r="E103" s="3053" t="s">
        <v>2304</v>
      </c>
      <c r="F103" s="3054"/>
      <c r="G103" s="2525" t="s">
        <v>2305</v>
      </c>
      <c r="H103" s="1048">
        <f>IF(D36="正常操作",H104+H105+H106,H105+H106)</f>
        <v>0</v>
      </c>
      <c r="I103" s="138"/>
    </row>
    <row r="104" spans="1:35" ht="18.75" customHeight="1">
      <c r="A104" s="3089" t="s">
        <v>2306</v>
      </c>
      <c r="B104" s="2526" t="s">
        <v>2301</v>
      </c>
      <c r="C104" s="740">
        <f ca="1">H118</f>
        <v>14656</v>
      </c>
      <c r="D104" s="741"/>
      <c r="E104" s="2270" t="s">
        <v>2307</v>
      </c>
      <c r="F104" s="2261"/>
      <c r="G104" s="2525" t="s">
        <v>2305</v>
      </c>
      <c r="H104" s="1049">
        <f>IF(D36="同一抵押权人同一抵押物续贷",C36&amp;"（未扣减，详见特别提示）",C36)</f>
        <v>0</v>
      </c>
      <c r="I104" s="138"/>
    </row>
    <row r="105" spans="1:35" ht="18.75" customHeight="1" thickBot="1">
      <c r="A105" s="3101"/>
      <c r="B105" s="2527" t="s">
        <v>2303</v>
      </c>
      <c r="C105" s="742">
        <f ca="1">I118</f>
        <v>8898</v>
      </c>
      <c r="D105" s="743"/>
      <c r="E105" s="2270" t="s">
        <v>2308</v>
      </c>
      <c r="F105" s="2261"/>
      <c r="G105" s="2525" t="s">
        <v>2305</v>
      </c>
      <c r="H105" s="1049">
        <f>C37</f>
        <v>0</v>
      </c>
      <c r="I105" s="138"/>
    </row>
    <row r="106" spans="1:35" ht="18.75" customHeight="1">
      <c r="A106" s="2422" t="s">
        <v>2309</v>
      </c>
      <c r="B106" s="2422"/>
      <c r="C106" s="2422"/>
      <c r="D106" s="2422"/>
      <c r="E106" s="2528" t="s">
        <v>2310</v>
      </c>
      <c r="F106" s="2261"/>
      <c r="G106" s="2525" t="s">
        <v>2305</v>
      </c>
      <c r="H106" s="1049">
        <f>C38</f>
        <v>0</v>
      </c>
      <c r="I106" s="138"/>
    </row>
    <row r="107" spans="1:35" ht="18.75" customHeight="1">
      <c r="A107" s="138"/>
      <c r="B107" s="138"/>
      <c r="C107" s="138"/>
      <c r="D107" s="138"/>
      <c r="E107" s="3090" t="str">
        <f>IF(项目基本情况!E8="已注销","——","3.房地产抵押价值")</f>
        <v>3.房地产抵押价值</v>
      </c>
      <c r="F107" s="3060"/>
      <c r="G107" s="2524" t="s">
        <v>2301</v>
      </c>
      <c r="H107" s="1048">
        <f ca="1">IF(E107="——","——",H101-H103)</f>
        <v>14656</v>
      </c>
      <c r="I107" s="138"/>
    </row>
    <row r="108" spans="1:35" ht="18.75" customHeight="1">
      <c r="A108" s="138"/>
      <c r="B108" s="138"/>
      <c r="C108" s="138"/>
      <c r="D108" s="138"/>
      <c r="E108" s="3090"/>
      <c r="F108" s="3060"/>
      <c r="G108" s="2524" t="s">
        <v>2303</v>
      </c>
      <c r="H108" s="371">
        <f ca="1">ROUND(H107*10000/'数据-汇总表'!E3,0)</f>
        <v>8898</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24" t="s">
        <v>2301</v>
      </c>
      <c r="H109" s="348" t="str">
        <f>IF(E109="——","——",H101-H105-H106)</f>
        <v>——</v>
      </c>
      <c r="I109" s="138"/>
    </row>
    <row r="110" spans="1:35" ht="18.75" customHeight="1">
      <c r="A110" s="138"/>
      <c r="B110" s="138"/>
      <c r="C110" s="138"/>
      <c r="D110" s="138"/>
      <c r="E110" s="3090"/>
      <c r="F110" s="3060"/>
      <c r="G110" s="2524" t="s">
        <v>2303</v>
      </c>
      <c r="H110" s="371" t="str">
        <f>IF(H109="——","——",ROUND(H109*10000/'数据-汇总表'!E3,0))</f>
        <v>——</v>
      </c>
      <c r="I110" s="138"/>
    </row>
    <row r="111" spans="1:35" ht="18.75" customHeight="1">
      <c r="A111" s="138"/>
      <c r="B111" s="138"/>
      <c r="C111" s="138"/>
      <c r="D111" s="138"/>
      <c r="E111" s="3091" t="str">
        <f>IF(项目基本情况!E9="抵押净值",IF(OR(项目基本情况!E8="已注销",项目基本情况!E8="房地产抵押价值"),"4.抵押净值","5.抵押净值"),"——")</f>
        <v>——</v>
      </c>
      <c r="F111" s="3092"/>
      <c r="G111" s="2524" t="s">
        <v>2301</v>
      </c>
      <c r="H111" s="1048" t="str">
        <f>IF(E111="——","——",N59)</f>
        <v>——</v>
      </c>
      <c r="I111" s="138"/>
    </row>
    <row r="112" spans="1:35" ht="18.75" customHeight="1" thickBot="1">
      <c r="A112" s="138"/>
      <c r="B112" s="138"/>
      <c r="C112" s="138"/>
      <c r="D112" s="138"/>
      <c r="E112" s="3093"/>
      <c r="F112" s="3094"/>
      <c r="G112" s="2529" t="s">
        <v>2303</v>
      </c>
      <c r="H112" s="790" t="str">
        <f>IF(E111="——","——",N61)</f>
        <v>——</v>
      </c>
      <c r="I112" s="138"/>
    </row>
    <row r="113" spans="1:11" ht="18.75" customHeight="1">
      <c r="A113" s="138"/>
      <c r="B113" s="138"/>
      <c r="C113" s="138"/>
      <c r="D113" s="138"/>
      <c r="E113" s="3102" t="s">
        <v>2309</v>
      </c>
      <c r="F113" s="3102"/>
      <c r="G113" s="3102"/>
      <c r="H113" s="3102"/>
      <c r="I113" s="138"/>
    </row>
    <row r="114" spans="1:11" ht="3.75" customHeight="1">
      <c r="A114" s="2422"/>
      <c r="B114" s="2422"/>
      <c r="C114" s="2422"/>
      <c r="D114" s="2422"/>
      <c r="E114" s="2500"/>
      <c r="F114" s="2500"/>
      <c r="G114" s="2500"/>
      <c r="H114" s="2500"/>
      <c r="I114" s="2422"/>
    </row>
    <row r="115" spans="1:11" ht="18.75" customHeight="1">
      <c r="A115" s="3115" t="s">
        <v>2311</v>
      </c>
      <c r="B115" s="3116"/>
      <c r="C115" s="3116"/>
      <c r="D115" s="3116"/>
      <c r="E115" s="3116"/>
      <c r="F115" s="3116"/>
      <c r="G115" s="3116"/>
      <c r="H115" s="3116"/>
      <c r="I115" s="3117"/>
    </row>
    <row r="116" spans="1:11" ht="27" customHeight="1">
      <c r="A116" s="3026" t="s">
        <v>2312</v>
      </c>
      <c r="B116" s="3069" t="s">
        <v>2313</v>
      </c>
      <c r="C116" s="3069" t="s">
        <v>2314</v>
      </c>
      <c r="D116" s="3075" t="s">
        <v>2315</v>
      </c>
      <c r="E116" s="3076"/>
      <c r="F116" s="3111" t="s">
        <v>2316</v>
      </c>
      <c r="G116" s="3111"/>
      <c r="H116" s="3026" t="s">
        <v>2317</v>
      </c>
      <c r="I116" s="3026"/>
    </row>
    <row r="117" spans="1:11" ht="18.75" customHeight="1">
      <c r="A117" s="3026"/>
      <c r="B117" s="3070"/>
      <c r="C117" s="3070"/>
      <c r="D117" s="1797" t="s">
        <v>2318</v>
      </c>
      <c r="E117" s="1797" t="s">
        <v>2319</v>
      </c>
      <c r="F117" s="1797" t="s">
        <v>2318</v>
      </c>
      <c r="G117" s="1797" t="s">
        <v>2320</v>
      </c>
      <c r="H117" s="1797" t="s">
        <v>2318</v>
      </c>
      <c r="I117" s="1797" t="s">
        <v>2320</v>
      </c>
    </row>
    <row r="118" spans="1:11" ht="24.75" customHeight="1">
      <c r="A118" s="2530" t="str">
        <f>项目基本情况!S2</f>
        <v>房地产</v>
      </c>
      <c r="B118" s="1797">
        <f>M18</f>
        <v>16471.48</v>
      </c>
      <c r="C118" s="1797">
        <f>M19</f>
        <v>24812</v>
      </c>
      <c r="D118" s="1797">
        <f ca="1">ROUND(IF(D32="总价",C34,E118*B118/10000),0)</f>
        <v>4351</v>
      </c>
      <c r="E118" s="1797">
        <f ca="1">ROUND(IF(C33="自定义",IF(D32="楼面单价",C34,D118*10000/B118),I118-G118),0)</f>
        <v>2642</v>
      </c>
      <c r="F118" s="1797">
        <f ca="1">ROUND(IF(D32="总价",C35,G118*B118/10000),0)</f>
        <v>10305</v>
      </c>
      <c r="G118" s="1797">
        <f ca="1">ROUND(IF(D32="楼面单价",C35,F118*10000/B118),0)</f>
        <v>6256</v>
      </c>
      <c r="H118" s="1797">
        <f ca="1">ROUND(IF(D32="总价",C32,I118*B118/10000),0)</f>
        <v>14656</v>
      </c>
      <c r="I118" s="1797">
        <f ca="1">ROUND(IF(D32="楼面单价",C32,H118*10000/B118),0)</f>
        <v>8898</v>
      </c>
    </row>
    <row r="119" spans="1:11" ht="18.75" customHeight="1">
      <c r="A119" s="3026" t="s">
        <v>2321</v>
      </c>
      <c r="B119" s="3026"/>
      <c r="C119" s="3026"/>
      <c r="D119" s="3071" t="str">
        <f ca="1">NUMBERSTRING(INT(D118*10000),2)&amp;"元整"</f>
        <v>肆仟叁佰伍拾壹万元整</v>
      </c>
      <c r="E119" s="3072"/>
      <c r="F119" s="3071" t="str">
        <f ca="1">NUMBERSTRING(INT(F118*10000),2)&amp;"元整"</f>
        <v>壹亿零叁佰零伍万元整</v>
      </c>
      <c r="G119" s="3072"/>
      <c r="H119" s="3071" t="str">
        <f ca="1">NUMBERSTRING(INT(H118*10000),2)&amp;"元整"</f>
        <v>壹亿肆仟陆佰伍拾陆万元整</v>
      </c>
      <c r="I119" s="3072"/>
    </row>
    <row r="120" spans="1:11" ht="18.75" customHeight="1">
      <c r="A120" s="3066" t="str">
        <f>IF(项目基本情况!B9="房地产市场价值","",MID(E103,3,LEN(E103)-2))</f>
        <v/>
      </c>
      <c r="B120" s="3067"/>
      <c r="C120" s="3068"/>
      <c r="D120" s="3066">
        <f>H103</f>
        <v>0</v>
      </c>
      <c r="E120" s="3067"/>
      <c r="F120" s="3067"/>
      <c r="G120" s="3067"/>
      <c r="H120" s="3067"/>
      <c r="I120" s="3068"/>
      <c r="K120" s="2427" t="str">
        <f>IF(D120=0,"故，本次评估不存在"&amp;A120,"故，本次评估"&amp;A120&amp;"为人民币"&amp;D120&amp;"万元整。")</f>
        <v>故，本次评估不存在</v>
      </c>
    </row>
    <row r="121" spans="1:11" ht="18.75" customHeight="1">
      <c r="A121" s="3112" t="s">
        <v>2321</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
      </c>
      <c r="B122" s="3077"/>
      <c r="C122" s="3077"/>
      <c r="D122" s="3066">
        <f ca="1">H107</f>
        <v>14656</v>
      </c>
      <c r="E122" s="3067"/>
      <c r="F122" s="3067"/>
      <c r="G122" s="3067"/>
      <c r="H122" s="3067"/>
      <c r="I122" s="3068"/>
    </row>
    <row r="123" spans="1:11" ht="18.75" customHeight="1">
      <c r="A123" s="3026" t="s">
        <v>2321</v>
      </c>
      <c r="B123" s="3026"/>
      <c r="C123" s="3026"/>
      <c r="D123" s="3071" t="str">
        <f ca="1">NUMBERSTRING(INT(D122*10000),2)&amp;"元整"</f>
        <v>壹亿肆仟陆佰伍拾陆万元整</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2321</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2321</v>
      </c>
      <c r="B127" s="3026"/>
      <c r="C127" s="3026"/>
      <c r="D127" s="3071" t="e">
        <f>NUMBERSTRING(INT(D126*10000),2)&amp;"元整"</f>
        <v>#VALUE!</v>
      </c>
      <c r="E127" s="3073"/>
      <c r="F127" s="3073"/>
      <c r="G127" s="3073"/>
      <c r="H127" s="3073"/>
      <c r="I127" s="3072"/>
    </row>
    <row r="128" spans="1:11" ht="21.75" customHeight="1">
      <c r="A128" s="3074" t="s">
        <v>2322</v>
      </c>
      <c r="B128" s="3074"/>
      <c r="C128" s="3074"/>
      <c r="D128" s="3074"/>
      <c r="E128" s="3074"/>
      <c r="F128" s="3074"/>
      <c r="G128" s="3074"/>
      <c r="H128" s="3074"/>
      <c r="I128" s="3074"/>
    </row>
    <row r="129" spans="1:35" ht="21.75" customHeight="1">
      <c r="A129" s="2531" t="s">
        <v>2323</v>
      </c>
      <c r="B129" s="2532"/>
      <c r="C129" s="2533" t="s">
        <v>2324</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2325</v>
      </c>
      <c r="G135" s="2548"/>
      <c r="H135" s="2548"/>
      <c r="I135" s="2549" t="s">
        <v>2326</v>
      </c>
    </row>
    <row r="136" spans="1:35" ht="21.75" customHeight="1">
      <c r="A136" s="795"/>
      <c r="B136" s="2550"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2328</v>
      </c>
    </row>
    <row r="139" spans="1:35" ht="21.75" customHeight="1">
      <c r="A139" s="795"/>
      <c r="B139" s="2550" t="s">
        <v>2329</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2328</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房地产市场价值预评估</v>
      </c>
    </row>
    <row r="3" spans="1:2" s="1595" customFormat="1">
      <c r="A3" s="1593" t="s">
        <v>1221</v>
      </c>
      <c r="B3" s="1594">
        <f>'预评函-封皮'!B40</f>
        <v>0</v>
      </c>
    </row>
    <row r="4" spans="1:2" s="1595" customFormat="1">
      <c r="A4" s="1593" t="s">
        <v>1222</v>
      </c>
      <c r="B4" s="1594" t="str">
        <f>'预评函-封皮'!B46</f>
        <v>（注册号：0)、（注册号：0)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受贵公司委托，我公司对房地产市场价值进行了预评估。</v>
      </c>
    </row>
    <row r="7" spans="1:2" s="1595" customFormat="1">
      <c r="A7" s="1593" t="s">
        <v>1264</v>
      </c>
      <c r="B7" s="1594" t="str">
        <f>'预评函-1'!A7</f>
        <v>估价对象为房地产，为所有。根据《国有土地使用证》[]，估价对象（分摊）出让国有建设用地使用权面积为24812平方米，建筑面积为16471.48平方米。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估价对象为房地产,属开发建设的，该项目尚在开发建设中。根据《国有土地使用证》[]，估价对象（分摊）出让国有建设用地使用权面积为24812平方米，规划建筑面积为16471.48平方米。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为估价委托人了解估价对象房地产市场价值提供参考依据。</v>
      </c>
    </row>
    <row r="12" spans="1:2" s="1595" customFormat="1">
      <c r="A12" s="1593" t="s">
        <v>1226</v>
      </c>
      <c r="B12" s="1594" t="str">
        <f>'预评函-1'!A15</f>
        <v>2018年11月12日（评估专业人员实地查勘之日）</v>
      </c>
    </row>
    <row r="13" spans="1:2" s="1595" customFormat="1">
      <c r="A13" s="1593" t="s">
        <v>1227</v>
      </c>
      <c r="B13" s="1594" t="str">
        <f>'预评函-1'!A18</f>
        <v>本次估价的“房地产价值”是指在正常市场情况下，在价值时点2018年11月12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v>
      </c>
    </row>
    <row r="16" spans="1:2" s="1595" customFormat="1">
      <c r="A16" s="1593" t="s">
        <v>1230</v>
      </c>
      <c r="B16" s="1594" t="str">
        <f>'预评函-1'!A21</f>
        <v>——</v>
      </c>
    </row>
    <row r="17" spans="1:2" s="1595" customFormat="1">
      <c r="A17" s="1593" t="s">
        <v>1231</v>
      </c>
      <c r="B17" s="1594" t="str">
        <f>'预评函-1'!A22</f>
        <v>——</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1234</v>
      </c>
      <c r="B20" s="1594">
        <f ca="1">'预评函-2'!D5</f>
        <v>14656</v>
      </c>
    </row>
    <row r="21" spans="1:2" s="1595" customFormat="1">
      <c r="A21" s="1593" t="s">
        <v>1235</v>
      </c>
      <c r="B21" s="1594">
        <f ca="1">'预评函-2'!D7</f>
        <v>8898</v>
      </c>
    </row>
    <row r="22" spans="1:2" s="1595" customFormat="1">
      <c r="A22" s="1593" t="s">
        <v>1236</v>
      </c>
      <c r="B22" s="1594" t="str">
        <f ca="1">'预评函-2'!D6</f>
        <v>壹亿肆仟陆佰伍拾陆万元整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14656</v>
      </c>
    </row>
    <row r="31" spans="1:2" s="1595" customFormat="1">
      <c r="A31" s="1593" t="s">
        <v>1274</v>
      </c>
      <c r="B31" s="1594">
        <f ca="1">'预评函-2'!D15</f>
        <v>8898</v>
      </c>
    </row>
    <row r="32" spans="1:2" s="1595" customFormat="1">
      <c r="A32" s="1593" t="s">
        <v>1241</v>
      </c>
      <c r="B32" s="1594" t="str">
        <f ca="1">'预评函-2'!D14</f>
        <v>壹亿肆仟陆佰伍拾陆万元整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房地产</v>
      </c>
    </row>
    <row r="42" spans="1:2" s="1595" customFormat="1">
      <c r="A42" s="1593" t="s">
        <v>1288</v>
      </c>
      <c r="B42" s="1594" t="str">
        <f>'预评函-3'!B2</f>
        <v>建筑面积</v>
      </c>
    </row>
    <row r="43" spans="1:2" s="1595" customFormat="1">
      <c r="A43" s="1593" t="s">
        <v>1289</v>
      </c>
      <c r="B43" s="1594">
        <f>'预评函-3'!B4</f>
        <v>16471.48</v>
      </c>
    </row>
    <row r="44" spans="1:2" s="1595" customFormat="1">
      <c r="A44" s="1593" t="s">
        <v>1273</v>
      </c>
      <c r="B44" s="1594" t="str">
        <f>'预评函-3'!C2</f>
        <v>(分摊)土地面积</v>
      </c>
    </row>
    <row r="45" spans="1:2" s="1595" customFormat="1">
      <c r="A45" s="1593" t="s">
        <v>1245</v>
      </c>
      <c r="B45" s="1594">
        <f>'预评函-3'!C4</f>
        <v>24812</v>
      </c>
    </row>
    <row r="46" spans="1:2" s="1595" customFormat="1">
      <c r="A46" s="1593" t="s">
        <v>1271</v>
      </c>
      <c r="B46" s="1594" t="str">
        <f>'预评函-3'!D2</f>
        <v>出让国有建设用地使用权价值</v>
      </c>
    </row>
    <row r="47" spans="1:2" s="1595" customFormat="1">
      <c r="A47" s="1593" t="s">
        <v>1246</v>
      </c>
      <c r="B47" s="1594">
        <f ca="1">'预评函-3'!D4</f>
        <v>4351</v>
      </c>
    </row>
    <row r="48" spans="1:2" s="1595" customFormat="1">
      <c r="A48" s="1593" t="s">
        <v>1247</v>
      </c>
      <c r="B48" s="1594">
        <f ca="1">'预评函-3'!E4</f>
        <v>2642</v>
      </c>
    </row>
    <row r="49" spans="1:2" s="1595" customFormat="1">
      <c r="A49" s="1593" t="s">
        <v>1248</v>
      </c>
      <c r="B49" s="1594" t="str">
        <f ca="1">'预评函-3'!D5</f>
        <v>肆仟叁佰伍拾壹万元整</v>
      </c>
    </row>
    <row r="50" spans="1:2" s="1595" customFormat="1">
      <c r="A50" s="1593" t="s">
        <v>1272</v>
      </c>
      <c r="B50" s="1594" t="str">
        <f>'预评函-3'!F2</f>
        <v>在建建筑物价值</v>
      </c>
    </row>
    <row r="51" spans="1:2" s="1595" customFormat="1">
      <c r="A51" s="1593" t="s">
        <v>1249</v>
      </c>
      <c r="B51" s="1594">
        <f ca="1">'预评函-3'!F4</f>
        <v>10305</v>
      </c>
    </row>
    <row r="52" spans="1:2" s="1595" customFormat="1">
      <c r="A52" s="1593" t="s">
        <v>1250</v>
      </c>
      <c r="B52" s="1594">
        <f ca="1">'预评函-3'!G4</f>
        <v>6256</v>
      </c>
    </row>
    <row r="53" spans="1:2" s="1595" customFormat="1">
      <c r="A53" s="1593" t="s">
        <v>1278</v>
      </c>
      <c r="B53" s="1594" t="str">
        <f ca="1">'预评函-3'!F5</f>
        <v>壹亿零叁佰零伍万元整</v>
      </c>
    </row>
    <row r="54" spans="1:2" s="1595" customFormat="1">
      <c r="A54" s="1593" t="s">
        <v>1296</v>
      </c>
      <c r="B54" s="1594" t="str">
        <f>'预评函-3'!A8</f>
        <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
      </c>
    </row>
    <row r="58" spans="1:2" s="1592" customFormat="1" ht="15" thickTop="1">
      <c r="A58" s="1590" t="s">
        <v>1251</v>
      </c>
      <c r="B58" s="1591" t="str">
        <f>'预评函-4'!A12</f>
        <v>2.本次评估设定估价对象房地产权属无争议，未被查封或者以其他形式限制其房地产权利，未设定抵押权等他项权利，不涉及第三方权利义务。</v>
      </c>
    </row>
    <row r="59" spans="1:2" s="1595" customFormat="1">
      <c r="A59" s="1593" t="s">
        <v>1252</v>
      </c>
      <c r="B59" s="1594" t="str">
        <f>'预评函-4'!A13</f>
        <v>——</v>
      </c>
    </row>
    <row r="60" spans="1:2" s="1595" customFormat="1">
      <c r="A60" s="1593" t="s">
        <v>1253</v>
      </c>
      <c r="B60" s="1594" t="str">
        <f>'预评函-4'!A14</f>
        <v>——</v>
      </c>
    </row>
    <row r="61" spans="1:2" s="1595" customFormat="1">
      <c r="A61" s="1593" t="s">
        <v>1254</v>
      </c>
      <c r="B61" s="1594" t="str">
        <f>'预评函-4'!A15</f>
        <v>——</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v>
      </c>
    </row>
    <row r="65" spans="1:2" s="1595" customFormat="1">
      <c r="A65" s="1593" t="s">
        <v>1257</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f>'预评函-4'!A4</f>
        <v>0</v>
      </c>
    </row>
    <row r="71" spans="1:2">
      <c r="A71" s="1593" t="s">
        <v>1261</v>
      </c>
      <c r="B71" s="1594">
        <f>'预评函-4'!B4</f>
        <v>0</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topLeftCell="A43" workbookViewId="0">
      <selection sqref="A1:G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9" t="s">
        <v>1377</v>
      </c>
      <c r="C1" s="242"/>
      <c r="D1" s="242"/>
      <c r="E1" s="242"/>
      <c r="F1" s="242"/>
      <c r="G1" s="1382">
        <f>MATCH(B1,'数据-取费表'!A6:A16,0)+5</f>
        <v>6</v>
      </c>
    </row>
    <row r="2" spans="1:9" s="244" customFormat="1" ht="18" customHeight="1">
      <c r="A2" s="245" t="s">
        <v>2331</v>
      </c>
      <c r="B2" s="246">
        <f ca="1">IF(D2="——",C52,C52-E2)</f>
        <v>14656</v>
      </c>
      <c r="C2" s="243" t="s">
        <v>2332</v>
      </c>
      <c r="D2" s="2553" t="s">
        <v>70</v>
      </c>
      <c r="E2" s="1443">
        <f ca="1">SUMIF(INDIRECT("'"&amp;G2&amp;"'"&amp;"!A:A"),"承租人权益价值",INDIRECT("'"&amp;G2&amp;"'"&amp;"!c:c"))</f>
        <v>0</v>
      </c>
      <c r="F2" s="2554" t="s">
        <v>2332</v>
      </c>
      <c r="G2" s="2555" t="s">
        <v>3246</v>
      </c>
    </row>
    <row r="3" spans="1:9" s="244" customFormat="1" ht="18" customHeight="1" thickBot="1">
      <c r="A3" s="247" t="s">
        <v>2333</v>
      </c>
      <c r="B3" s="248">
        <f ca="1">ROUND(B2*10000/(IF(B1="",'数据-汇总表'!E3,INDIRECT("'数据-取费表'!k"&amp;$G$1))),0)</f>
        <v>8915</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3257</v>
      </c>
      <c r="D5" s="255" t="s">
        <v>2338</v>
      </c>
      <c r="E5" s="256" t="s">
        <v>2339</v>
      </c>
      <c r="F5" s="256" t="s">
        <v>2340</v>
      </c>
      <c r="G5" s="257"/>
    </row>
    <row r="6" spans="1:9" s="258" customFormat="1" ht="13.5" customHeight="1">
      <c r="A6" s="952" t="s">
        <v>2341</v>
      </c>
      <c r="B6" s="259" t="s">
        <v>2342</v>
      </c>
      <c r="C6" s="260">
        <f>'土地比较法-住宅、综合'!B2</f>
        <v>3161</v>
      </c>
      <c r="D6" s="261"/>
      <c r="E6" s="262"/>
      <c r="F6" s="262"/>
      <c r="G6" s="263"/>
    </row>
    <row r="7" spans="1:9" s="258" customFormat="1" ht="13.5" customHeight="1">
      <c r="A7" s="952" t="s">
        <v>2343</v>
      </c>
      <c r="B7" s="259" t="s">
        <v>2344</v>
      </c>
      <c r="C7" s="264">
        <f>ROUND(C6*F7,0)</f>
        <v>96</v>
      </c>
      <c r="D7" s="264"/>
      <c r="E7" s="262"/>
      <c r="F7" s="265">
        <f>'数据-取费表'!B48+'数据-取费表'!B49</f>
        <v>3.0499999999999999E-2</v>
      </c>
      <c r="G7" s="263"/>
    </row>
    <row r="8" spans="1:9" s="267" customFormat="1">
      <c r="A8" s="952" t="s">
        <v>2345</v>
      </c>
      <c r="B8" s="259" t="s">
        <v>2346</v>
      </c>
      <c r="C8" s="264">
        <f>IF(G8="已包含在土地购买价格中","0",IF(B1="",'数据-取费表'!B29,IF(G9="全部缴纳",C9+C10,H9)))</f>
        <v>0</v>
      </c>
      <c r="D8" s="266"/>
      <c r="E8" s="264"/>
      <c r="F8" s="265"/>
      <c r="G8" s="2556" t="s">
        <v>3244</v>
      </c>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0</v>
      </c>
      <c r="F9" s="265"/>
      <c r="G9" s="2557" t="s">
        <v>3245</v>
      </c>
      <c r="H9" s="1393"/>
      <c r="I9" s="2558" t="s">
        <v>2348</v>
      </c>
    </row>
    <row r="10" spans="1:9" s="258" customFormat="1" ht="13.5" customHeight="1">
      <c r="A10" s="953" t="s">
        <v>801</v>
      </c>
      <c r="B10" s="268" t="s">
        <v>2349</v>
      </c>
      <c r="C10" s="269">
        <f ca="1">ROUND(D10*E10/10000,0)</f>
        <v>0</v>
      </c>
      <c r="D10" s="1035">
        <f ca="1">IF(B1="",'数据-汇总表'!E6,IF(INDIRECT("'数据-取费表'!c"&amp;$G$1)="住宅",INDIRECT("'数据-取费表'!s"&amp;$G$1),INDIRECT("'数据-取费表'!k"&amp;$G$1)+INDIRECT("'数据-取费表'!s"&amp;$G$1)))</f>
        <v>16471.48</v>
      </c>
      <c r="E10" s="269">
        <f>'数据-取费表'!B28</f>
        <v>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t="str">
        <f>IF(G19="已包含在土地取得成本中","0",ROUND(D19*E19/10000,0))</f>
        <v>0</v>
      </c>
      <c r="D19" s="1039">
        <f ca="1">D9+D10</f>
        <v>16471.48</v>
      </c>
      <c r="E19" s="255">
        <f>'数据-取费表'!B31</f>
        <v>200</v>
      </c>
      <c r="F19" s="275"/>
      <c r="G19" s="2556" t="s">
        <v>3256</v>
      </c>
    </row>
    <row r="20" spans="1:7" s="258" customFormat="1" ht="13.5" customHeight="1">
      <c r="A20" s="299" t="s">
        <v>2362</v>
      </c>
      <c r="B20" s="254" t="s">
        <v>2363</v>
      </c>
      <c r="C20" s="276">
        <f>ROUND((C5+C19)*F20,0)</f>
        <v>98</v>
      </c>
      <c r="D20" s="276"/>
      <c r="E20" s="276"/>
      <c r="F20" s="277">
        <f>'数据-取费表'!B37</f>
        <v>0.03</v>
      </c>
      <c r="G20" s="278" t="s">
        <v>2364</v>
      </c>
    </row>
    <row r="21" spans="1:7" s="258" customFormat="1" ht="13.5" customHeight="1">
      <c r="A21" s="299" t="s">
        <v>2365</v>
      </c>
      <c r="B21" s="254" t="s">
        <v>2366</v>
      </c>
      <c r="C21" s="279">
        <f>F21</f>
        <v>0.05</v>
      </c>
      <c r="D21" s="280" t="s">
        <v>2367</v>
      </c>
      <c r="E21" s="276"/>
      <c r="F21" s="277">
        <f>'数据-取费表'!B38</f>
        <v>0.05</v>
      </c>
      <c r="G21" s="278" t="s">
        <v>2368</v>
      </c>
    </row>
    <row r="22" spans="1:7" s="258" customFormat="1" ht="13.5" customHeight="1">
      <c r="A22" s="299" t="s">
        <v>2369</v>
      </c>
      <c r="B22" s="254" t="s">
        <v>2370</v>
      </c>
      <c r="C22" s="1357">
        <f ca="1">ROUND(SUM(C23:C25),0)</f>
        <v>322</v>
      </c>
      <c r="D22" s="279">
        <f ca="1">C26</f>
        <v>2.3999999999999998E-3</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8">
        <f ca="1">ROUND(IF('数据-取费表'!B22&lt;=1,C5*F22*'数据-取费表'!B23,C5*(POWER((1+F22),'数据-取费表'!B23)-1)),0)</f>
        <v>317</v>
      </c>
      <c r="D23" s="282"/>
      <c r="E23" s="282"/>
      <c r="F23" s="283"/>
      <c r="G23" s="284" t="s">
        <v>2373</v>
      </c>
    </row>
    <row r="24" spans="1:7" s="258" customFormat="1" ht="13.5" customHeight="1">
      <c r="A24" s="954" t="s">
        <v>2374</v>
      </c>
      <c r="B24" s="259" t="s">
        <v>2375</v>
      </c>
      <c r="C24" s="1358">
        <f ca="1">ROUND(IF('数据-取费表'!B22&lt;=1,C19*F22*('数据-取费表'!B19/2+'数据-取费表'!B21),C19*(POWER((1+F22),('数据-取费表'!B19/2+'数据-取费表'!B21))-1)),0)</f>
        <v>0</v>
      </c>
      <c r="D24" s="282"/>
      <c r="E24" s="282"/>
      <c r="F24" s="283"/>
      <c r="G24" s="284" t="s">
        <v>2376</v>
      </c>
    </row>
    <row r="25" spans="1:7" s="258" customFormat="1" ht="24">
      <c r="A25" s="954" t="s">
        <v>2377</v>
      </c>
      <c r="B25" s="259" t="s">
        <v>2378</v>
      </c>
      <c r="C25" s="1358">
        <f ca="1">ROUND(IF('数据-取费表'!B22&lt;=1,C20*F22*'数据-取费表'!B23/2,C20*(POWER((1+F22),'数据-取费表'!B23/2)-1)),0)</f>
        <v>5</v>
      </c>
      <c r="D25" s="282"/>
      <c r="E25" s="285"/>
      <c r="F25" s="283"/>
      <c r="G25" s="286" t="s">
        <v>2379</v>
      </c>
    </row>
    <row r="26" spans="1:7" s="258" customFormat="1">
      <c r="A26" s="954" t="s">
        <v>795</v>
      </c>
      <c r="B26" s="259" t="s">
        <v>2380</v>
      </c>
      <c r="C26" s="282">
        <f ca="1">ROUND(IF('数据-取费表'!B22&lt;=1,F21*F22*'数据-取费表'!B23/2,F21*(POWER((1+F22),'数据-取费表'!B23/2)-1)),4)</f>
        <v>2.3999999999999998E-3</v>
      </c>
      <c r="D26" s="282"/>
      <c r="E26" s="285"/>
      <c r="F26" s="283"/>
      <c r="G26" s="287"/>
    </row>
    <row r="27" spans="1:7" s="258" customFormat="1" ht="24.75">
      <c r="A27" s="299" t="s">
        <v>2381</v>
      </c>
      <c r="B27" s="288" t="s">
        <v>2382</v>
      </c>
      <c r="C27" s="289">
        <f ca="1">C28</f>
        <v>201</v>
      </c>
      <c r="D27" s="279">
        <f ca="1">C29</f>
        <v>3.0000000000000001E-3</v>
      </c>
      <c r="E27" s="280" t="s">
        <v>2383</v>
      </c>
      <c r="F27" s="290">
        <f ca="1">IF(B1="",'数据-取费表'!Q16,INDIRECT("'数据-取费表'!q"&amp;$G$1))</f>
        <v>0.06</v>
      </c>
      <c r="G27" s="291" t="s">
        <v>2384</v>
      </c>
    </row>
    <row r="28" spans="1:7" s="258" customFormat="1" ht="13.5" customHeight="1">
      <c r="A28" s="954" t="s">
        <v>791</v>
      </c>
      <c r="B28" s="292" t="s">
        <v>2385</v>
      </c>
      <c r="C28" s="293">
        <f ca="1">ROUND((C5+C19+C20)*F27*'数据-取费表'!B21/'数据-取费表'!B20,0)</f>
        <v>201</v>
      </c>
      <c r="D28" s="279"/>
      <c r="E28" s="280"/>
      <c r="F28" s="290"/>
      <c r="G28" s="291"/>
    </row>
    <row r="29" spans="1:7" s="258" customFormat="1" ht="13.5" customHeight="1">
      <c r="A29" s="954" t="s">
        <v>792</v>
      </c>
      <c r="B29" s="292" t="s">
        <v>2386</v>
      </c>
      <c r="C29" s="282">
        <f ca="1">ROUND(C21*F27*'数据-取费表'!B21/'数据-取费表'!B20,4)</f>
        <v>3.0000000000000001E-3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4351</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8216</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7406</v>
      </c>
      <c r="D34" s="261"/>
      <c r="E34" s="264"/>
      <c r="F34" s="301">
        <f ca="1">IF('数据-取费表'!B24=0,1,IF(B1="",'数据-取费表'!N16,INDIRECT("'数据-取费表'!n"&amp;$G$1)))</f>
        <v>1</v>
      </c>
      <c r="G34" s="263" t="s">
        <v>2395</v>
      </c>
    </row>
    <row r="35" spans="1:7" ht="13.5" customHeight="1">
      <c r="A35" s="954" t="s">
        <v>796</v>
      </c>
      <c r="B35" s="259" t="s">
        <v>2396</v>
      </c>
      <c r="C35" s="264">
        <f ca="1">ROUND(C34*F35,0)</f>
        <v>370</v>
      </c>
      <c r="D35" s="264"/>
      <c r="E35" s="264"/>
      <c r="F35" s="303">
        <f>'数据-取费表'!B33</f>
        <v>0.05</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54" t="s">
        <v>798</v>
      </c>
      <c r="B37" s="259" t="s">
        <v>2400</v>
      </c>
      <c r="C37" s="293">
        <f ca="1">ROUND(E37*D37*F34/10000,0)</f>
        <v>329</v>
      </c>
      <c r="D37" s="261">
        <f ca="1">D19</f>
        <v>16471.48</v>
      </c>
      <c r="E37" s="293">
        <f>'数据-取费表'!B35</f>
        <v>200</v>
      </c>
      <c r="F37" s="303"/>
      <c r="G37" s="305" t="s">
        <v>2401</v>
      </c>
    </row>
    <row r="38" spans="1:7" ht="13.5" customHeight="1">
      <c r="A38" s="954" t="s">
        <v>799</v>
      </c>
      <c r="B38" s="259" t="s">
        <v>2402</v>
      </c>
      <c r="C38" s="264">
        <f ca="1">ROUND(C34*F38,0)</f>
        <v>111</v>
      </c>
      <c r="D38" s="264"/>
      <c r="E38" s="264"/>
      <c r="F38" s="303">
        <f>'数据-取费表'!B36</f>
        <v>1.4999999999999999E-2</v>
      </c>
      <c r="G38" s="263" t="s">
        <v>2397</v>
      </c>
    </row>
    <row r="39" spans="1:7" s="258" customFormat="1" ht="13.5" customHeight="1">
      <c r="A39" s="299" t="s">
        <v>2403</v>
      </c>
      <c r="B39" s="254" t="s">
        <v>2404</v>
      </c>
      <c r="C39" s="276">
        <f ca="1">ROUND(C33*F20,0)</f>
        <v>246</v>
      </c>
      <c r="D39" s="276"/>
      <c r="E39" s="276"/>
      <c r="F39" s="277"/>
      <c r="G39" s="278" t="s">
        <v>2405</v>
      </c>
    </row>
    <row r="40" spans="1:7" s="258" customFormat="1" ht="13.5" customHeight="1">
      <c r="A40" s="299" t="s">
        <v>2406</v>
      </c>
      <c r="B40" s="254" t="s">
        <v>2407</v>
      </c>
      <c r="C40" s="1730">
        <f>F21</f>
        <v>0.05</v>
      </c>
      <c r="D40" s="280" t="s">
        <v>2408</v>
      </c>
      <c r="E40" s="276"/>
      <c r="F40" s="277"/>
      <c r="G40" s="278" t="s">
        <v>2409</v>
      </c>
    </row>
    <row r="41" spans="1:7" s="258" customFormat="1" ht="13.5" customHeight="1">
      <c r="A41" s="299" t="s">
        <v>2410</v>
      </c>
      <c r="B41" s="254" t="s">
        <v>2411</v>
      </c>
      <c r="C41" s="276">
        <f ca="1">ROUND(SUM(C42:C43),0)</f>
        <v>402</v>
      </c>
      <c r="D41" s="279">
        <f ca="1">C44</f>
        <v>2.3999999999999998E-3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390</v>
      </c>
      <c r="D42" s="282"/>
      <c r="E42" s="282"/>
      <c r="F42" s="283"/>
      <c r="G42" s="3146" t="s">
        <v>2413</v>
      </c>
    </row>
    <row r="43" spans="1:7" ht="13.5" customHeight="1">
      <c r="A43" s="954" t="s">
        <v>792</v>
      </c>
      <c r="B43" s="259" t="s">
        <v>2414</v>
      </c>
      <c r="C43" s="282">
        <f ca="1">ROUND(IF('数据-取费表'!B22&lt;=1,C39*F22*'数据-取费表'!B21/2,C39*(POWER((1+F22),'数据-取费表'!B21/2)-1)),0)</f>
        <v>12</v>
      </c>
      <c r="D43" s="282"/>
      <c r="E43" s="282"/>
      <c r="F43" s="283"/>
      <c r="G43" s="3147"/>
    </row>
    <row r="44" spans="1:7" ht="13.5" customHeight="1">
      <c r="A44" s="954" t="s">
        <v>793</v>
      </c>
      <c r="B44" s="259" t="s">
        <v>2415</v>
      </c>
      <c r="C44" s="282">
        <f ca="1">ROUND(IF('数据-取费表'!B22&lt;=1,C40*F22*'数据-取费表'!B21/2,C40*(POWER((1+F22),'数据-取费表'!B21/2)-1)),4)</f>
        <v>2.3999999999999998E-3</v>
      </c>
      <c r="D44" s="282"/>
      <c r="E44" s="282"/>
      <c r="F44" s="283"/>
      <c r="G44" s="3148"/>
    </row>
    <row r="45" spans="1:7" s="258" customFormat="1" ht="13.5" customHeight="1">
      <c r="A45" s="299" t="s">
        <v>2416</v>
      </c>
      <c r="B45" s="288" t="s">
        <v>2382</v>
      </c>
      <c r="C45" s="289">
        <f ca="1">C46</f>
        <v>508</v>
      </c>
      <c r="D45" s="279">
        <f ca="1">C47</f>
        <v>3.0000000000000001E-3</v>
      </c>
      <c r="E45" s="280" t="s">
        <v>2408</v>
      </c>
      <c r="F45" s="290"/>
      <c r="G45" s="291" t="s">
        <v>2417</v>
      </c>
    </row>
    <row r="46" spans="1:7" s="258" customFormat="1" ht="13.5" customHeight="1">
      <c r="A46" s="954" t="s">
        <v>791</v>
      </c>
      <c r="B46" s="292" t="s">
        <v>2418</v>
      </c>
      <c r="C46" s="293">
        <f ca="1">ROUND((C33+C39)*F27,0)</f>
        <v>508</v>
      </c>
      <c r="D46" s="307"/>
      <c r="E46" s="280"/>
      <c r="F46" s="290"/>
      <c r="G46" s="291"/>
    </row>
    <row r="47" spans="1:7" s="258" customFormat="1" ht="13.5" customHeight="1">
      <c r="A47" s="954" t="s">
        <v>792</v>
      </c>
      <c r="B47" s="292" t="s">
        <v>2419</v>
      </c>
      <c r="C47" s="282">
        <f ca="1">ROUND(C40*F27,4)</f>
        <v>3.0000000000000001E-3</v>
      </c>
      <c r="D47" s="307"/>
      <c r="E47" s="280"/>
      <c r="F47" s="290"/>
      <c r="G47" s="291"/>
    </row>
    <row r="48" spans="1:7" s="258" customFormat="1" ht="13.5" customHeight="1">
      <c r="A48" s="299" t="s">
        <v>2381</v>
      </c>
      <c r="B48" s="254" t="s">
        <v>2420</v>
      </c>
      <c r="C48" s="1730">
        <f>ROUND(F30/(1+'数据-取费表'!C42),4)</f>
        <v>5.33E-2</v>
      </c>
      <c r="D48" s="280" t="s">
        <v>2408</v>
      </c>
      <c r="E48" s="276"/>
      <c r="F48" s="281"/>
      <c r="G48" s="278" t="s">
        <v>2421</v>
      </c>
    </row>
    <row r="49" spans="1:7" ht="16.5" customHeight="1">
      <c r="A49" s="299" t="s">
        <v>2387</v>
      </c>
      <c r="B49" s="254" t="s">
        <v>2422</v>
      </c>
      <c r="C49" s="276">
        <f ca="1">ROUND((C33+C39+C41+C45)/(1-C40-D41-D45-C48),0)</f>
        <v>10515</v>
      </c>
      <c r="D49" s="276"/>
      <c r="E49" s="276"/>
      <c r="F49" s="308"/>
      <c r="G49" s="278" t="s">
        <v>2423</v>
      </c>
    </row>
    <row r="50" spans="1:7" s="302" customFormat="1" ht="24">
      <c r="A50" s="299" t="s">
        <v>2424</v>
      </c>
      <c r="B50" s="254" t="s">
        <v>2425</v>
      </c>
      <c r="C50" s="276"/>
      <c r="D50" s="276"/>
      <c r="E50" s="276"/>
      <c r="F50" s="308">
        <f>IF('数据-取费表'!B24=0,'数据-取费表'!N16,1)</f>
        <v>0.98</v>
      </c>
      <c r="G50" s="291" t="s">
        <v>2426</v>
      </c>
    </row>
    <row r="51" spans="1:7" ht="16.5" customHeight="1">
      <c r="A51" s="299" t="s">
        <v>2427</v>
      </c>
      <c r="B51" s="254" t="s">
        <v>2428</v>
      </c>
      <c r="C51" s="276">
        <f ca="1">ROUND(C49*F50,0)</f>
        <v>10305</v>
      </c>
      <c r="D51" s="276"/>
      <c r="E51" s="276"/>
      <c r="F51" s="308"/>
      <c r="G51" s="278" t="s">
        <v>2429</v>
      </c>
    </row>
    <row r="52" spans="1:7" s="252" customFormat="1" ht="16.5" thickBot="1">
      <c r="A52" s="309" t="s">
        <v>2430</v>
      </c>
      <c r="B52" s="310"/>
      <c r="C52" s="311">
        <f ca="1">C31+C51</f>
        <v>14656</v>
      </c>
      <c r="D52" s="310"/>
      <c r="E52" s="310"/>
      <c r="F52" s="310"/>
      <c r="G52" s="312"/>
    </row>
    <row r="55" spans="1:7" ht="15">
      <c r="B55" s="314" t="s">
        <v>2431</v>
      </c>
      <c r="C55" s="315"/>
    </row>
    <row r="56" spans="1:7">
      <c r="B56" s="317" t="s">
        <v>1513</v>
      </c>
      <c r="C56" s="319">
        <f ca="1">1-C57</f>
        <v>0.29700000000000004</v>
      </c>
    </row>
    <row r="57" spans="1:7">
      <c r="B57" s="317" t="s">
        <v>1514</v>
      </c>
      <c r="C57" s="318">
        <f ca="1">ROUND(C51/C52,3)</f>
        <v>0.70299999999999996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E3" sqref="E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9"/>
      <c r="C1" s="2559" t="s">
        <v>2432</v>
      </c>
      <c r="D1" s="242"/>
      <c r="E1" s="242"/>
      <c r="F1" s="242"/>
      <c r="G1" s="1382">
        <f>MATCH(B1,'数据-取费表'!A6:A16,0)+5</f>
        <v>7</v>
      </c>
      <c r="H1" s="1285" t="str">
        <f>IF(ISERROR(FIND("住宅",B1)),"非住宅","住宅")</f>
        <v>非住宅</v>
      </c>
    </row>
    <row r="2" spans="1:8" s="244" customFormat="1" ht="18" customHeight="1">
      <c r="A2" s="245" t="s">
        <v>2331</v>
      </c>
      <c r="B2" s="246">
        <f ca="1">ROUND(IF(D2="——",C52/10000,C52/10000-E2),0)</f>
        <v>10746</v>
      </c>
      <c r="C2" s="243" t="s">
        <v>2332</v>
      </c>
      <c r="D2" s="2553" t="s">
        <v>70</v>
      </c>
      <c r="E2" s="1443" t="e">
        <f ca="1">SUMIF(INDIRECT("'"&amp;G2&amp;"'"&amp;"!A:A"),"承租人权益价值",INDIRECT("'"&amp;G2&amp;"'"&amp;"!c:c"))</f>
        <v>#REF!</v>
      </c>
      <c r="F2" s="2554" t="s">
        <v>2332</v>
      </c>
      <c r="G2" s="2555"/>
    </row>
    <row r="3" spans="1:8" s="244" customFormat="1" ht="18" customHeight="1" thickBot="1">
      <c r="A3" s="247" t="s">
        <v>2333</v>
      </c>
      <c r="B3" s="248">
        <f ca="1">ROUND(B2*10000/(IF(B1="",'数据-汇总表'!E3,INDIRECT("'数据-取费表'!k"&amp;$G$1))),0)</f>
        <v>6524</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0</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0</v>
      </c>
      <c r="D8" s="266"/>
      <c r="E8" s="264"/>
      <c r="F8" s="265"/>
      <c r="G8" s="2556"/>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2349</v>
      </c>
      <c r="C10" s="269">
        <f ca="1">ROUND(D10*E10,0)</f>
        <v>0</v>
      </c>
      <c r="D10" s="1035">
        <f ca="1">IF(B1="",'数据-汇总表'!E6,IF(INDIRECT("'数据-取费表'!c"&amp;$G$1)="住宅",INDIRECT("'数据-取费表'!s"&amp;$G$1),INDIRECT("'数据-取费表'!k"&amp;$G$1)+INDIRECT("'数据-取费表'!s"&amp;$G$1)))</f>
        <v>16471.48</v>
      </c>
      <c r="E10" s="269">
        <f>'数据-取费表'!B28</f>
        <v>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3294296</v>
      </c>
      <c r="D19" s="1039">
        <f ca="1">D9+D10</f>
        <v>16471.48</v>
      </c>
      <c r="E19" s="255">
        <f>'数据-取费表'!B31</f>
        <v>200</v>
      </c>
      <c r="F19" s="275"/>
      <c r="G19" s="2556"/>
    </row>
    <row r="20" spans="1:7" s="258" customFormat="1" ht="13.5" customHeight="1">
      <c r="A20" s="299" t="s">
        <v>2443</v>
      </c>
      <c r="B20" s="254" t="s">
        <v>2444</v>
      </c>
      <c r="C20" s="276">
        <f ca="1">ROUND((C5+C19)*F20,0)</f>
        <v>98829</v>
      </c>
      <c r="D20" s="276"/>
      <c r="E20" s="276"/>
      <c r="F20" s="277">
        <f>'数据-取费表'!B37</f>
        <v>0.03</v>
      </c>
      <c r="G20" s="278" t="s">
        <v>2445</v>
      </c>
    </row>
    <row r="21" spans="1:7" s="258" customFormat="1" ht="13.5" customHeight="1">
      <c r="A21" s="299" t="s">
        <v>2446</v>
      </c>
      <c r="B21" s="254" t="s">
        <v>2447</v>
      </c>
      <c r="C21" s="279">
        <f>F21</f>
        <v>0.05</v>
      </c>
      <c r="D21" s="280" t="s">
        <v>2448</v>
      </c>
      <c r="E21" s="276"/>
      <c r="F21" s="277">
        <f>'数据-取费表'!B38</f>
        <v>0.05</v>
      </c>
      <c r="G21" s="278" t="s">
        <v>2449</v>
      </c>
    </row>
    <row r="22" spans="1:7" s="258" customFormat="1" ht="13.5" customHeight="1">
      <c r="A22" s="299" t="s">
        <v>2450</v>
      </c>
      <c r="B22" s="254" t="s">
        <v>2451</v>
      </c>
      <c r="C22" s="1383">
        <f ca="1">ROUND(SUM(C23:C25),0)</f>
        <v>325085</v>
      </c>
      <c r="D22" s="279">
        <f ca="1">C26</f>
        <v>2.3999999999999998E-3</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4">
        <f ca="1">ROUND(IF('数据-取费表'!B22&lt;=1,C5*F22*'数据-取费表'!B22,C5*(POWER((1+F22),'数据-取费表'!B22)-1)),0)</f>
        <v>0</v>
      </c>
      <c r="D23" s="282"/>
      <c r="E23" s="282"/>
      <c r="F23" s="283"/>
      <c r="G23" s="284" t="s">
        <v>2453</v>
      </c>
    </row>
    <row r="24" spans="1:7" s="258" customFormat="1" ht="13.5" customHeight="1">
      <c r="A24" s="954" t="s">
        <v>2343</v>
      </c>
      <c r="B24" s="259" t="s">
        <v>2454</v>
      </c>
      <c r="C24" s="1384">
        <f ca="1">ROUND(IF('数据-取费表'!B22&lt;=1,C19*F22*('数据-取费表'!B19/2+'数据-取费表'!B20),C19*(POWER((1+F22),('数据-取费表'!B19/2+'数据-取费表'!B20))-1)),0)</f>
        <v>320391</v>
      </c>
      <c r="D24" s="282"/>
      <c r="E24" s="282"/>
      <c r="F24" s="283"/>
      <c r="G24" s="284" t="s">
        <v>2455</v>
      </c>
    </row>
    <row r="25" spans="1:7" s="258" customFormat="1" ht="24">
      <c r="A25" s="954" t="s">
        <v>2345</v>
      </c>
      <c r="B25" s="259" t="s">
        <v>2456</v>
      </c>
      <c r="C25" s="1384">
        <f ca="1">ROUND(IF('数据-取费表'!B22&lt;=1,C20*F22*'数据-取费表'!B22/2,C20*(POWER((1+F22),'数据-取费表'!B22/2)-1)),0)</f>
        <v>4694</v>
      </c>
      <c r="D25" s="282"/>
      <c r="E25" s="285"/>
      <c r="F25" s="283"/>
      <c r="G25" s="286" t="s">
        <v>2457</v>
      </c>
    </row>
    <row r="26" spans="1:7" s="258" customFormat="1">
      <c r="A26" s="954" t="s">
        <v>795</v>
      </c>
      <c r="B26" s="259" t="s">
        <v>2380</v>
      </c>
      <c r="C26" s="282">
        <f ca="1">ROUND(IF('数据-取费表'!B22&lt;=1,F21*F22*'数据-取费表'!B22/2,F21*(POWER((1+F22),'数据-取费表'!B22/2)-1)),4)</f>
        <v>2.3999999999999998E-3</v>
      </c>
      <c r="D26" s="282"/>
      <c r="E26" s="285"/>
      <c r="F26" s="283"/>
      <c r="G26" s="287"/>
    </row>
    <row r="27" spans="1:7" s="258" customFormat="1" ht="24.75">
      <c r="A27" s="299" t="s">
        <v>2381</v>
      </c>
      <c r="B27" s="288" t="s">
        <v>2382</v>
      </c>
      <c r="C27" s="289">
        <f ca="1">C28</f>
        <v>203588</v>
      </c>
      <c r="D27" s="279">
        <f ca="1">C29</f>
        <v>3.0000000000000001E-3</v>
      </c>
      <c r="E27" s="280" t="s">
        <v>2383</v>
      </c>
      <c r="F27" s="290">
        <f ca="1">IF(B1="",'数据-取费表'!Q16,INDIRECT("'数据-取费表'!q"&amp;$G$1))</f>
        <v>0.06</v>
      </c>
      <c r="G27" s="291" t="s">
        <v>2384</v>
      </c>
    </row>
    <row r="28" spans="1:7" s="258" customFormat="1" ht="13.5" customHeight="1">
      <c r="A28" s="954" t="s">
        <v>791</v>
      </c>
      <c r="B28" s="292" t="s">
        <v>2385</v>
      </c>
      <c r="C28" s="293">
        <f ca="1">ROUND((C5+C19+C20)*F27,0)</f>
        <v>203588</v>
      </c>
      <c r="D28" s="279"/>
      <c r="E28" s="280"/>
      <c r="F28" s="290"/>
      <c r="G28" s="291"/>
    </row>
    <row r="29" spans="1:7" s="258" customFormat="1" ht="13.5" customHeight="1">
      <c r="A29" s="954" t="s">
        <v>792</v>
      </c>
      <c r="B29" s="292" t="s">
        <v>2386</v>
      </c>
      <c r="C29" s="282">
        <f ca="1">ROUND(C21*F27,4)</f>
        <v>3.0000000000000001E-3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4400088</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82170993</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74062627</v>
      </c>
      <c r="D34" s="261"/>
      <c r="E34" s="264"/>
      <c r="F34" s="301"/>
      <c r="G34" s="263"/>
    </row>
    <row r="35" spans="1:7" ht="13.5" customHeight="1">
      <c r="A35" s="954" t="s">
        <v>796</v>
      </c>
      <c r="B35" s="259" t="s">
        <v>2396</v>
      </c>
      <c r="C35" s="264">
        <f ca="1">ROUND(C34*F35,0)</f>
        <v>3703131</v>
      </c>
      <c r="D35" s="264"/>
      <c r="E35" s="264"/>
      <c r="F35" s="303">
        <f>'数据-取费表'!B33</f>
        <v>0.05</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54" t="s">
        <v>798</v>
      </c>
      <c r="B37" s="259" t="s">
        <v>2400</v>
      </c>
      <c r="C37" s="293">
        <f ca="1">ROUND(E37*D37,0)</f>
        <v>3294296</v>
      </c>
      <c r="D37" s="261">
        <f ca="1">D19</f>
        <v>16471.48</v>
      </c>
      <c r="E37" s="293">
        <f>'数据-取费表'!B35</f>
        <v>200</v>
      </c>
      <c r="F37" s="303"/>
      <c r="G37" s="305"/>
    </row>
    <row r="38" spans="1:7" ht="13.5" customHeight="1">
      <c r="A38" s="954" t="s">
        <v>799</v>
      </c>
      <c r="B38" s="259" t="s">
        <v>2402</v>
      </c>
      <c r="C38" s="264">
        <f ca="1">ROUND(C34*F38,0)</f>
        <v>1110939</v>
      </c>
      <c r="D38" s="264"/>
      <c r="E38" s="264"/>
      <c r="F38" s="303">
        <f>'数据-取费表'!B36</f>
        <v>1.4999999999999999E-2</v>
      </c>
      <c r="G38" s="263" t="s">
        <v>2397</v>
      </c>
    </row>
    <row r="39" spans="1:7" s="258" customFormat="1" ht="13.5" customHeight="1">
      <c r="A39" s="299" t="s">
        <v>2403</v>
      </c>
      <c r="B39" s="254" t="s">
        <v>2404</v>
      </c>
      <c r="C39" s="276">
        <f ca="1">ROUND(C33*F20,0)</f>
        <v>2465130</v>
      </c>
      <c r="D39" s="276"/>
      <c r="E39" s="276"/>
      <c r="F39" s="277"/>
      <c r="G39" s="278" t="s">
        <v>2405</v>
      </c>
    </row>
    <row r="40" spans="1:7" s="258" customFormat="1" ht="13.5" customHeight="1">
      <c r="A40" s="299" t="s">
        <v>2406</v>
      </c>
      <c r="B40" s="254" t="s">
        <v>2407</v>
      </c>
      <c r="C40" s="1730">
        <f>F21</f>
        <v>0.05</v>
      </c>
      <c r="D40" s="280" t="s">
        <v>2408</v>
      </c>
      <c r="E40" s="276"/>
      <c r="F40" s="277"/>
      <c r="G40" s="278" t="s">
        <v>2409</v>
      </c>
    </row>
    <row r="41" spans="1:7" s="258" customFormat="1" ht="13.5" customHeight="1">
      <c r="A41" s="299" t="s">
        <v>2410</v>
      </c>
      <c r="B41" s="254" t="s">
        <v>2411</v>
      </c>
      <c r="C41" s="276">
        <f ca="1">ROUND(SUM(C42:C43),0)</f>
        <v>4020216</v>
      </c>
      <c r="D41" s="279">
        <f ca="1">C44</f>
        <v>2.3999999999999998E-3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3903122</v>
      </c>
      <c r="D42" s="282"/>
      <c r="E42" s="282"/>
      <c r="F42" s="283"/>
      <c r="G42" s="3146" t="s">
        <v>2460</v>
      </c>
    </row>
    <row r="43" spans="1:7" ht="13.5" customHeight="1">
      <c r="A43" s="954" t="s">
        <v>792</v>
      </c>
      <c r="B43" s="259" t="s">
        <v>2414</v>
      </c>
      <c r="C43" s="282">
        <f ca="1">ROUND(IF('数据-取费表'!B22&lt;=1,C39*F22*'数据-取费表'!B20/2,C39*(POWER((1+F22),'数据-取费表'!B20/2)-1)),0)</f>
        <v>117094</v>
      </c>
      <c r="D43" s="282"/>
      <c r="E43" s="282"/>
      <c r="F43" s="283"/>
      <c r="G43" s="3147"/>
    </row>
    <row r="44" spans="1:7" ht="13.5" customHeight="1">
      <c r="A44" s="954" t="s">
        <v>793</v>
      </c>
      <c r="B44" s="259" t="s">
        <v>2415</v>
      </c>
      <c r="C44" s="282">
        <f ca="1">ROUND(IF('数据-取费表'!B22&lt;=1,C40*F22*'数据-取费表'!B20/2,C40*(POWER((1+F22),'数据-取费表'!B20/2)-1)),4)</f>
        <v>2.3999999999999998E-3</v>
      </c>
      <c r="D44" s="282"/>
      <c r="E44" s="282"/>
      <c r="F44" s="283"/>
      <c r="G44" s="3148"/>
    </row>
    <row r="45" spans="1:7" s="258" customFormat="1" ht="13.5" customHeight="1">
      <c r="A45" s="299" t="s">
        <v>2416</v>
      </c>
      <c r="B45" s="288" t="s">
        <v>2382</v>
      </c>
      <c r="C45" s="289">
        <f ca="1">C46</f>
        <v>5078167</v>
      </c>
      <c r="D45" s="279">
        <f ca="1">C47</f>
        <v>3.0000000000000001E-3</v>
      </c>
      <c r="E45" s="280" t="s">
        <v>2408</v>
      </c>
      <c r="F45" s="290"/>
      <c r="G45" s="291" t="s">
        <v>2417</v>
      </c>
    </row>
    <row r="46" spans="1:7" s="258" customFormat="1" ht="13.5" customHeight="1">
      <c r="A46" s="954" t="s">
        <v>791</v>
      </c>
      <c r="B46" s="292" t="s">
        <v>2418</v>
      </c>
      <c r="C46" s="293">
        <f ca="1">ROUND((C33+C39)*F27,0)</f>
        <v>5078167</v>
      </c>
      <c r="D46" s="307"/>
      <c r="E46" s="280"/>
      <c r="F46" s="290"/>
      <c r="G46" s="291"/>
    </row>
    <row r="47" spans="1:7" s="258" customFormat="1" ht="13.5" customHeight="1">
      <c r="A47" s="954" t="s">
        <v>792</v>
      </c>
      <c r="B47" s="292" t="s">
        <v>2419</v>
      </c>
      <c r="C47" s="282">
        <f ca="1">ROUND(C40*F27,4)</f>
        <v>3.0000000000000001E-3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105166056</v>
      </c>
      <c r="D49" s="276"/>
      <c r="E49" s="276"/>
      <c r="F49" s="308"/>
      <c r="G49" s="278" t="s">
        <v>2423</v>
      </c>
    </row>
    <row r="50" spans="1:7" s="302" customFormat="1">
      <c r="A50" s="299" t="s">
        <v>2424</v>
      </c>
      <c r="B50" s="254" t="s">
        <v>2425</v>
      </c>
      <c r="C50" s="276"/>
      <c r="D50" s="276"/>
      <c r="E50" s="276"/>
      <c r="F50" s="308">
        <f>IF('数据-取费表'!B24=0,'数据-取费表'!N16,1)</f>
        <v>0.98</v>
      </c>
      <c r="G50" s="291"/>
    </row>
    <row r="51" spans="1:7" ht="16.5" customHeight="1">
      <c r="A51" s="299" t="s">
        <v>2427</v>
      </c>
      <c r="B51" s="254" t="s">
        <v>2462</v>
      </c>
      <c r="C51" s="276">
        <f ca="1">ROUND(C49*F50,0)</f>
        <v>103062735</v>
      </c>
      <c r="D51" s="276"/>
      <c r="E51" s="276"/>
      <c r="F51" s="308"/>
      <c r="G51" s="278" t="s">
        <v>2429</v>
      </c>
    </row>
    <row r="52" spans="1:7" s="252" customFormat="1" ht="16.5" thickBot="1">
      <c r="A52" s="309" t="s">
        <v>2430</v>
      </c>
      <c r="B52" s="310"/>
      <c r="C52" s="311">
        <f ca="1">C31+C51</f>
        <v>107462823</v>
      </c>
      <c r="D52" s="310"/>
      <c r="E52" s="310"/>
      <c r="F52" s="310"/>
      <c r="G52" s="312"/>
    </row>
    <row r="55" spans="1:7" ht="15">
      <c r="B55" s="314" t="s">
        <v>2431</v>
      </c>
      <c r="C55" s="315"/>
    </row>
    <row r="56" spans="1:7">
      <c r="B56" s="317" t="s">
        <v>1513</v>
      </c>
      <c r="C56" s="319">
        <f ca="1">1-C57</f>
        <v>4.1000000000000036E-2</v>
      </c>
    </row>
    <row r="57" spans="1:7">
      <c r="B57" s="317" t="s">
        <v>1514</v>
      </c>
      <c r="C57" s="318">
        <f ca="1">ROUND(C51/C52,3)</f>
        <v>0.95899999999999996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24" zoomScale="80" zoomScaleNormal="80" workbookViewId="0">
      <selection activeCell="F66" sqref="F6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f>F66</f>
        <v>3161</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f>ROUND(IF(D3="",B2*10000/'数据-汇总表'!E3,B2*10000/D3),0)</f>
        <v>1919</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67" t="s">
        <v>2647</v>
      </c>
      <c r="D4" s="3168"/>
      <c r="E4" s="3169" t="s">
        <v>2648</v>
      </c>
      <c r="F4" s="3170"/>
      <c r="G4" s="3167" t="s">
        <v>2649</v>
      </c>
      <c r="H4" s="3168"/>
      <c r="I4" s="3167" t="s">
        <v>2650</v>
      </c>
      <c r="J4" s="3168"/>
      <c r="K4" s="610" t="s">
        <v>2651</v>
      </c>
      <c r="L4" s="1133"/>
      <c r="M4" s="1134"/>
      <c r="N4" s="1134"/>
      <c r="O4" s="1134"/>
      <c r="P4" s="3171" t="s">
        <v>2652</v>
      </c>
      <c r="Q4" s="3172"/>
      <c r="R4" s="3154" t="s">
        <v>2648</v>
      </c>
      <c r="S4" s="3155"/>
      <c r="T4" s="3154" t="s">
        <v>2649</v>
      </c>
      <c r="U4" s="3155"/>
      <c r="V4" s="3179" t="s">
        <v>2650</v>
      </c>
      <c r="W4" s="3179"/>
      <c r="X4" s="1815"/>
      <c r="Y4" s="3154" t="s">
        <v>2652</v>
      </c>
      <c r="Z4" s="3155"/>
      <c r="AA4" s="3149" t="s">
        <v>2648</v>
      </c>
      <c r="AB4" s="3150" t="s">
        <v>2649</v>
      </c>
      <c r="AC4" s="3149" t="s">
        <v>2650</v>
      </c>
    </row>
    <row r="5" spans="1:30" ht="15">
      <c r="A5" s="404"/>
      <c r="B5" s="405"/>
      <c r="C5" s="3160" t="s">
        <v>2543</v>
      </c>
      <c r="D5" s="3161"/>
      <c r="E5" s="3158" t="str">
        <f>Sheet1!A2</f>
        <v>草庙镇临海高等级公路东侧地块</v>
      </c>
      <c r="F5" s="3159"/>
      <c r="G5" s="3160" t="str">
        <f>Sheet1!E5</f>
        <v>荷花岛项目地块</v>
      </c>
      <c r="H5" s="3161"/>
      <c r="I5" s="3160" t="str">
        <f>Sheet1!A14</f>
        <v>大丰经济开发区人工湖南侧地块</v>
      </c>
      <c r="J5" s="3161"/>
      <c r="K5" s="610"/>
      <c r="L5" s="1133"/>
      <c r="M5" s="1134"/>
      <c r="N5" s="1134"/>
      <c r="O5" s="1134"/>
      <c r="P5" s="3173"/>
      <c r="Q5" s="3174"/>
      <c r="R5" s="3156"/>
      <c r="S5" s="3157"/>
      <c r="T5" s="3156"/>
      <c r="U5" s="3157"/>
      <c r="V5" s="3179"/>
      <c r="W5" s="3179"/>
      <c r="X5" s="1815"/>
      <c r="Y5" s="3156"/>
      <c r="Z5" s="3157"/>
      <c r="AA5" s="3150"/>
      <c r="AB5" s="3150"/>
      <c r="AC5" s="3150"/>
    </row>
    <row r="6" spans="1:30" ht="15.75" thickBot="1">
      <c r="A6" s="406"/>
      <c r="B6" s="407"/>
      <c r="C6" s="3162" t="s">
        <v>2547</v>
      </c>
      <c r="D6" s="3163"/>
      <c r="E6" s="3164" t="s">
        <v>2547</v>
      </c>
      <c r="F6" s="3165"/>
      <c r="G6" s="3162" t="s">
        <v>2547</v>
      </c>
      <c r="H6" s="3163"/>
      <c r="I6" s="3162" t="s">
        <v>2547</v>
      </c>
      <c r="J6" s="3163"/>
      <c r="K6" s="610" t="s">
        <v>2548</v>
      </c>
      <c r="L6" s="1133"/>
      <c r="M6" s="1134"/>
      <c r="N6" s="1134"/>
      <c r="O6" s="1134"/>
      <c r="P6" s="3175"/>
      <c r="Q6" s="3176"/>
      <c r="R6" s="3156"/>
      <c r="S6" s="3157"/>
      <c r="T6" s="3177"/>
      <c r="U6" s="3178"/>
      <c r="V6" s="3179"/>
      <c r="W6" s="3179"/>
      <c r="X6" s="1815"/>
      <c r="Y6" s="3177"/>
      <c r="Z6" s="3178"/>
      <c r="AA6" s="3151"/>
      <c r="AB6" s="3151"/>
      <c r="AC6" s="3151"/>
    </row>
    <row r="7" spans="1:30" s="117" customFormat="1" ht="15.75" thickBot="1">
      <c r="A7" s="408" t="s">
        <v>2549</v>
      </c>
      <c r="B7" s="409"/>
      <c r="C7" s="410">
        <f>'数据-取费表'!B2</f>
        <v>43416</v>
      </c>
      <c r="D7" s="411">
        <v>100</v>
      </c>
      <c r="E7" s="412" t="str">
        <f>Sheet1!J2</f>
        <v>2018-05-25</v>
      </c>
      <c r="F7" s="413">
        <f>SUMIF(70:70,YEAR(E7)&amp;"-"&amp;INT((MONTH(E7)+2)/3),71:71)</f>
        <v>99</v>
      </c>
      <c r="G7" s="2702" t="str">
        <f>Sheet1!J5</f>
        <v>2018-05-23</v>
      </c>
      <c r="H7" s="411">
        <f>SUMIF(70:70,YEAR(G7)&amp;"-"&amp;INT((MONTH(G7)+2)/3),71:71)</f>
        <v>99</v>
      </c>
      <c r="I7" s="2702" t="str">
        <f>Sheet1!J14</f>
        <v>2017-10-20</v>
      </c>
      <c r="J7" s="411">
        <f>SUMIF(70:70,YEAR(I7)&amp;"-"&amp;INT((MONTH(I7)+2)/3),71:71)</f>
        <v>98</v>
      </c>
      <c r="K7" s="611"/>
      <c r="L7" s="1135"/>
      <c r="M7" s="1136"/>
      <c r="N7" s="1136"/>
      <c r="O7" s="1136"/>
      <c r="P7" s="3152" t="s">
        <v>2550</v>
      </c>
      <c r="Q7" s="3180"/>
      <c r="R7" s="770" t="s">
        <v>17</v>
      </c>
      <c r="S7" s="771">
        <f t="shared" ref="S7:S15" si="0">F7</f>
        <v>99</v>
      </c>
      <c r="T7" s="770" t="s">
        <v>17</v>
      </c>
      <c r="U7" s="771">
        <f t="shared" ref="U7:U15" si="1">H7</f>
        <v>99</v>
      </c>
      <c r="V7" s="770" t="s">
        <v>17</v>
      </c>
      <c r="W7" s="771">
        <f t="shared" ref="W7:W15" si="2">J7</f>
        <v>98</v>
      </c>
      <c r="X7" s="772"/>
      <c r="Y7" s="3152" t="s">
        <v>2550</v>
      </c>
      <c r="Z7" s="3153"/>
      <c r="AA7" s="773">
        <f>D7/F7</f>
        <v>1.0101010101010102</v>
      </c>
      <c r="AB7" s="773">
        <f>D7/H7</f>
        <v>1.0101010101010102</v>
      </c>
      <c r="AC7" s="773">
        <f>D7/J7</f>
        <v>1.0204081632653061</v>
      </c>
    </row>
    <row r="8" spans="1:30" s="117" customFormat="1" ht="15.75" thickBot="1">
      <c r="A8" s="408" t="s">
        <v>2551</v>
      </c>
      <c r="B8" s="409"/>
      <c r="C8" s="414" t="s">
        <v>2552</v>
      </c>
      <c r="D8" s="411">
        <v>100</v>
      </c>
      <c r="E8" s="414" t="s">
        <v>3235</v>
      </c>
      <c r="F8" s="413">
        <f>SUMIF(73:73,E8,74:74)-SUMIF(73:73,C8,74:74)+100</f>
        <v>100</v>
      </c>
      <c r="G8" s="414" t="s">
        <v>3235</v>
      </c>
      <c r="H8" s="411">
        <f>SUMIF(73:73,G8,74:74)-SUMIF(73:73,C8,74:74)+100</f>
        <v>100</v>
      </c>
      <c r="I8" s="414" t="s">
        <v>3235</v>
      </c>
      <c r="J8" s="411">
        <f>SUMIF(73:73,I8,74:74)-SUMIF(73:73,C8,74:74)+100</f>
        <v>100</v>
      </c>
      <c r="K8" s="611"/>
      <c r="L8" s="1135"/>
      <c r="M8" s="1136"/>
      <c r="N8" s="1136"/>
      <c r="O8" s="1136"/>
      <c r="P8" s="3152" t="s">
        <v>2553</v>
      </c>
      <c r="Q8" s="3153"/>
      <c r="R8" s="770" t="s">
        <v>17</v>
      </c>
      <c r="S8" s="771">
        <f t="shared" si="0"/>
        <v>100</v>
      </c>
      <c r="T8" s="770" t="s">
        <v>17</v>
      </c>
      <c r="U8" s="771">
        <f t="shared" si="1"/>
        <v>100</v>
      </c>
      <c r="V8" s="770" t="s">
        <v>17</v>
      </c>
      <c r="W8" s="771">
        <f t="shared" si="2"/>
        <v>100</v>
      </c>
      <c r="X8" s="772"/>
      <c r="Y8" s="3152" t="s">
        <v>2553</v>
      </c>
      <c r="Z8" s="3153"/>
      <c r="AA8" s="773">
        <f t="shared" ref="AA8:AA45" si="3">D8/F8</f>
        <v>1</v>
      </c>
      <c r="AB8" s="773">
        <f t="shared" ref="AB8:AB45" si="4">D8/H8</f>
        <v>1</v>
      </c>
      <c r="AC8" s="773">
        <f t="shared" ref="AC8:AC45" si="5">D8/J8</f>
        <v>1</v>
      </c>
    </row>
    <row r="9" spans="1:30" s="117" customFormat="1">
      <c r="A9" s="415" t="s">
        <v>2554</v>
      </c>
      <c r="B9" s="71" t="s">
        <v>2555</v>
      </c>
      <c r="C9" s="2705" t="s">
        <v>1377</v>
      </c>
      <c r="D9" s="135">
        <v>100</v>
      </c>
      <c r="E9" s="2705" t="s">
        <v>1377</v>
      </c>
      <c r="F9" s="135">
        <f>SUMIF(75:75,E9,76:76)-SUMIF(75:75,C9,76:76)+100</f>
        <v>100</v>
      </c>
      <c r="G9" s="2705" t="s">
        <v>1377</v>
      </c>
      <c r="H9" s="135">
        <f>SUMIF(75:75,G9,76:76)-SUMIF(75:75,C9,76:76)+100</f>
        <v>100</v>
      </c>
      <c r="I9" s="2705" t="s">
        <v>1377</v>
      </c>
      <c r="J9" s="135">
        <f>SUMIF(75:75,I9,76:76)-SUMIF(75:75,C9,76:76)+100</f>
        <v>100</v>
      </c>
      <c r="K9" s="611"/>
      <c r="L9" s="1135"/>
      <c r="M9" s="1136"/>
      <c r="N9" s="1136"/>
      <c r="O9" s="1137"/>
      <c r="P9" s="3166" t="s">
        <v>2556</v>
      </c>
      <c r="Q9" s="1797"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102</v>
      </c>
      <c r="G10" s="463"/>
      <c r="H10" s="136">
        <f>ROUND(100/'数据-取费表'!G16,0)</f>
        <v>102</v>
      </c>
      <c r="I10" s="463"/>
      <c r="J10" s="136">
        <f>ROUND(100/'数据-取费表'!G16,0)</f>
        <v>102</v>
      </c>
      <c r="K10" s="672"/>
      <c r="L10" s="1138"/>
      <c r="M10" s="1139"/>
      <c r="N10" s="1139"/>
      <c r="O10" s="1140"/>
      <c r="P10" s="3166"/>
      <c r="Q10" s="1797" t="str">
        <f t="shared" si="6"/>
        <v>土地使用年限（年）</v>
      </c>
      <c r="R10" s="770" t="s">
        <v>17</v>
      </c>
      <c r="S10" s="771">
        <f t="shared" si="0"/>
        <v>102</v>
      </c>
      <c r="T10" s="770" t="s">
        <v>17</v>
      </c>
      <c r="U10" s="771">
        <f t="shared" si="1"/>
        <v>102</v>
      </c>
      <c r="V10" s="770" t="s">
        <v>17</v>
      </c>
      <c r="W10" s="771">
        <f t="shared" si="2"/>
        <v>102</v>
      </c>
      <c r="X10" s="772"/>
      <c r="Y10" s="3026"/>
      <c r="Z10" s="55" t="str">
        <f t="shared" si="7"/>
        <v>土地使用年限（年）</v>
      </c>
      <c r="AA10" s="773">
        <f t="shared" si="3"/>
        <v>0.98039215686274506</v>
      </c>
      <c r="AB10" s="773">
        <f t="shared" si="4"/>
        <v>0.98039215686274506</v>
      </c>
      <c r="AC10" s="773">
        <f t="shared" si="5"/>
        <v>0.98039215686274506</v>
      </c>
    </row>
    <row r="11" spans="1:30" ht="15">
      <c r="A11" s="428"/>
      <c r="B11" s="422" t="s">
        <v>2559</v>
      </c>
      <c r="C11" s="429">
        <f>'数据-汇总表'!I6</f>
        <v>0.66</v>
      </c>
      <c r="D11" s="136">
        <v>100</v>
      </c>
      <c r="E11" s="429">
        <v>0.5</v>
      </c>
      <c r="F11" s="136">
        <f>LOOKUP(E11,80:80,81:81)-LOOKUP(C11,80:80,81:81)+100</f>
        <v>100</v>
      </c>
      <c r="G11" s="430">
        <v>1.2</v>
      </c>
      <c r="H11" s="136">
        <f>LOOKUP(G11,80:80,81:81)-LOOKUP(C11,80:80,81:81)+100</f>
        <v>103</v>
      </c>
      <c r="I11" s="429">
        <v>1.1000000000000001</v>
      </c>
      <c r="J11" s="136">
        <f>LOOKUP(I11,80:80,81:81)-LOOKUP(C11,80:80,81:81)+100</f>
        <v>103</v>
      </c>
      <c r="K11" s="673">
        <v>1</v>
      </c>
      <c r="L11" s="1141"/>
      <c r="M11" s="1134"/>
      <c r="N11" s="1134"/>
      <c r="O11" s="1142"/>
      <c r="P11" s="3166"/>
      <c r="Q11" s="1797" t="str">
        <f t="shared" si="6"/>
        <v>容积率</v>
      </c>
      <c r="R11" s="770" t="s">
        <v>17</v>
      </c>
      <c r="S11" s="771">
        <f t="shared" si="0"/>
        <v>100</v>
      </c>
      <c r="T11" s="770" t="s">
        <v>17</v>
      </c>
      <c r="U11" s="771">
        <f t="shared" si="1"/>
        <v>103</v>
      </c>
      <c r="V11" s="770" t="s">
        <v>17</v>
      </c>
      <c r="W11" s="771">
        <f t="shared" si="2"/>
        <v>103</v>
      </c>
      <c r="X11" s="772"/>
      <c r="Y11" s="3026"/>
      <c r="Z11" s="55" t="str">
        <f t="shared" si="7"/>
        <v>容积率</v>
      </c>
      <c r="AA11" s="773">
        <f t="shared" si="3"/>
        <v>1</v>
      </c>
      <c r="AB11" s="773">
        <f t="shared" si="4"/>
        <v>0.970873786407767</v>
      </c>
      <c r="AC11" s="773">
        <f t="shared" si="5"/>
        <v>0.970873786407767</v>
      </c>
    </row>
    <row r="12" spans="1:30" s="117" customFormat="1" ht="15">
      <c r="A12" s="431"/>
      <c r="B12" s="2606"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6"/>
      <c r="Q12" s="1797"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6"/>
      <c r="Q13" s="1797">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6"/>
      <c r="Q14" s="1797">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2560</v>
      </c>
      <c r="B15" s="69" t="s">
        <v>2089</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0</v>
      </c>
      <c r="L15" s="1143"/>
      <c r="M15" s="1134"/>
      <c r="N15" s="1134"/>
      <c r="O15" s="1142"/>
      <c r="P15" s="3181" t="s">
        <v>2561</v>
      </c>
      <c r="Q15" s="1812" t="str">
        <f t="shared" si="6"/>
        <v>居住社区成熟度</v>
      </c>
      <c r="R15" s="774" t="s">
        <v>17</v>
      </c>
      <c r="S15" s="775">
        <f t="shared" si="0"/>
        <v>100</v>
      </c>
      <c r="T15" s="774" t="s">
        <v>17</v>
      </c>
      <c r="U15" s="775">
        <f t="shared" si="1"/>
        <v>100</v>
      </c>
      <c r="V15" s="774" t="s">
        <v>17</v>
      </c>
      <c r="W15" s="775">
        <f t="shared" si="2"/>
        <v>100</v>
      </c>
      <c r="X15" s="1815"/>
      <c r="Y15" s="3181" t="s">
        <v>2561</v>
      </c>
      <c r="Z15" s="1816" t="str">
        <f t="shared" si="7"/>
        <v>居住社区成熟度</v>
      </c>
      <c r="AA15" s="1813">
        <f t="shared" si="3"/>
        <v>1</v>
      </c>
      <c r="AB15" s="1813">
        <f t="shared" si="4"/>
        <v>1</v>
      </c>
      <c r="AC15" s="1813">
        <f t="shared" si="5"/>
        <v>1</v>
      </c>
    </row>
    <row r="16" spans="1:30" ht="15">
      <c r="A16" s="428"/>
      <c r="B16" s="446"/>
      <c r="C16" s="447"/>
      <c r="D16" s="448"/>
      <c r="E16" s="2611"/>
      <c r="F16" s="448"/>
      <c r="G16" s="2611"/>
      <c r="H16" s="450"/>
      <c r="I16" s="2610"/>
      <c r="J16" s="448"/>
      <c r="K16" s="672"/>
      <c r="L16" s="1143"/>
      <c r="M16" s="1134"/>
      <c r="N16" s="1134"/>
      <c r="O16" s="1142"/>
      <c r="P16" s="3182"/>
      <c r="Q16" s="1812"/>
      <c r="R16" s="774"/>
      <c r="S16" s="775"/>
      <c r="T16" s="774"/>
      <c r="U16" s="775"/>
      <c r="V16" s="774"/>
      <c r="W16" s="775"/>
      <c r="X16" s="1815"/>
      <c r="Y16" s="3182"/>
      <c r="Z16" s="1816"/>
      <c r="AA16" s="1813">
        <v>1</v>
      </c>
      <c r="AB16" s="1813">
        <v>1</v>
      </c>
      <c r="AC16" s="1813">
        <v>1</v>
      </c>
    </row>
    <row r="17" spans="1:29" ht="71.25">
      <c r="A17" s="428"/>
      <c r="B17" s="451" t="s">
        <v>2654</v>
      </c>
      <c r="C17" s="2670" t="str">
        <f>估价对象房地状况!C16</f>
        <v>估价对象位于XX商圈，周边商业氛围成熟，人流量大，商业繁华度好</v>
      </c>
      <c r="D17" s="450">
        <v>100</v>
      </c>
      <c r="E17" s="452"/>
      <c r="F17" s="450">
        <f>SUMIF(90:90,E18,91:91)-SUMIF(90:90,C18,91:91)+100</f>
        <v>98</v>
      </c>
      <c r="G17" s="452"/>
      <c r="H17" s="455">
        <f>SUMIF(90:90,G18,91:91)-SUMIF(90:90,C18,91:91)+100</f>
        <v>98</v>
      </c>
      <c r="I17" s="452"/>
      <c r="J17" s="455">
        <f>SUMIF(90:90,I18,91:91)-SUMIF(90:90,C18,91:91)+100</f>
        <v>98</v>
      </c>
      <c r="K17" s="673">
        <v>2</v>
      </c>
      <c r="L17" s="1143"/>
      <c r="M17" s="1134"/>
      <c r="N17" s="1134"/>
      <c r="O17" s="1142"/>
      <c r="P17" s="3182"/>
      <c r="Q17" s="1812" t="str">
        <f>B17</f>
        <v>商业繁华度</v>
      </c>
      <c r="R17" s="774" t="s">
        <v>17</v>
      </c>
      <c r="S17" s="775">
        <f>F17</f>
        <v>98</v>
      </c>
      <c r="T17" s="774" t="s">
        <v>17</v>
      </c>
      <c r="U17" s="775">
        <f>H17</f>
        <v>98</v>
      </c>
      <c r="V17" s="774" t="s">
        <v>17</v>
      </c>
      <c r="W17" s="775">
        <f>J17</f>
        <v>98</v>
      </c>
      <c r="X17" s="1815"/>
      <c r="Y17" s="3182"/>
      <c r="Z17" s="1816" t="str">
        <f>Q17</f>
        <v>商业繁华度</v>
      </c>
      <c r="AA17" s="1813">
        <f t="shared" si="3"/>
        <v>1.0204081632653061</v>
      </c>
      <c r="AB17" s="1813">
        <f t="shared" si="4"/>
        <v>1.0204081632653061</v>
      </c>
      <c r="AC17" s="1813">
        <f t="shared" si="5"/>
        <v>1.0204081632653061</v>
      </c>
    </row>
    <row r="18" spans="1:29" ht="15">
      <c r="A18" s="428"/>
      <c r="B18" s="456"/>
      <c r="C18" s="2614" t="s">
        <v>3237</v>
      </c>
      <c r="D18" s="450"/>
      <c r="E18" s="2616" t="s">
        <v>3238</v>
      </c>
      <c r="F18" s="450"/>
      <c r="G18" s="2616" t="s">
        <v>3238</v>
      </c>
      <c r="H18" s="448"/>
      <c r="I18" s="2616" t="s">
        <v>3238</v>
      </c>
      <c r="J18" s="448"/>
      <c r="K18" s="672"/>
      <c r="L18" s="1143"/>
      <c r="M18" s="1134"/>
      <c r="N18" s="1134"/>
      <c r="O18" s="1142"/>
      <c r="P18" s="3182"/>
      <c r="Q18" s="1812"/>
      <c r="R18" s="774"/>
      <c r="S18" s="775"/>
      <c r="T18" s="774"/>
      <c r="U18" s="775"/>
      <c r="V18" s="774"/>
      <c r="W18" s="775"/>
      <c r="X18" s="1815"/>
      <c r="Y18" s="3182"/>
      <c r="Z18" s="1816"/>
      <c r="AA18" s="1813">
        <v>1</v>
      </c>
      <c r="AB18" s="1813">
        <v>1</v>
      </c>
      <c r="AC18" s="1813">
        <v>1</v>
      </c>
    </row>
    <row r="19" spans="1:29" ht="71.25" hidden="1">
      <c r="A19" s="428"/>
      <c r="B19" s="451" t="s">
        <v>2688</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7"/>
      <c r="J19" s="450">
        <f>SUMIF(92:92,I20,93:93)-SUMIF(92:92,C20,93:93)+100</f>
        <v>100</v>
      </c>
      <c r="K19" s="673"/>
      <c r="L19" s="1143"/>
      <c r="M19" s="1134"/>
      <c r="N19" s="1134"/>
      <c r="O19" s="1142"/>
      <c r="P19" s="3182"/>
      <c r="Q19" s="1812" t="str">
        <f>B19</f>
        <v>办公集聚程度</v>
      </c>
      <c r="R19" s="774" t="s">
        <v>17</v>
      </c>
      <c r="S19" s="775">
        <f>F19</f>
        <v>100</v>
      </c>
      <c r="T19" s="774" t="s">
        <v>17</v>
      </c>
      <c r="U19" s="775">
        <f>H19</f>
        <v>100</v>
      </c>
      <c r="V19" s="774" t="s">
        <v>17</v>
      </c>
      <c r="W19" s="775">
        <f>J19</f>
        <v>100</v>
      </c>
      <c r="X19" s="1815"/>
      <c r="Y19" s="3182"/>
      <c r="Z19" s="1816" t="str">
        <f>Q19</f>
        <v>办公集聚程度</v>
      </c>
      <c r="AA19" s="1813">
        <f t="shared" si="3"/>
        <v>1</v>
      </c>
      <c r="AB19" s="1813">
        <f t="shared" si="4"/>
        <v>1</v>
      </c>
      <c r="AC19" s="1813">
        <f t="shared" si="5"/>
        <v>1</v>
      </c>
    </row>
    <row r="20" spans="1:29" ht="15" hidden="1">
      <c r="A20" s="428"/>
      <c r="B20" s="456"/>
      <c r="C20" s="447"/>
      <c r="D20" s="448"/>
      <c r="E20" s="2611"/>
      <c r="F20" s="448"/>
      <c r="G20" s="2611"/>
      <c r="H20" s="448"/>
      <c r="I20" s="2611"/>
      <c r="J20" s="448"/>
      <c r="K20" s="672"/>
      <c r="L20" s="1143"/>
      <c r="M20" s="1134"/>
      <c r="N20" s="1134"/>
      <c r="O20" s="1142"/>
      <c r="P20" s="3182"/>
      <c r="Q20" s="1812"/>
      <c r="R20" s="774"/>
      <c r="S20" s="775"/>
      <c r="T20" s="774"/>
      <c r="U20" s="775"/>
      <c r="V20" s="774"/>
      <c r="W20" s="775"/>
      <c r="X20" s="1815"/>
      <c r="Y20" s="3182"/>
      <c r="Z20" s="1816"/>
      <c r="AA20" s="1813">
        <v>1</v>
      </c>
      <c r="AB20" s="1813">
        <v>1</v>
      </c>
      <c r="AC20" s="1813">
        <v>1</v>
      </c>
    </row>
    <row r="21" spans="1:29" ht="85.5">
      <c r="A21" s="428"/>
      <c r="B21" s="451" t="s">
        <v>2710</v>
      </c>
      <c r="C21" s="2613" t="str">
        <f>估价对象房地状况!C18</f>
        <v>估价对象周边道路状况、公共交通通达情况、停车便捷程度，综合评价交通便捷度较好</v>
      </c>
      <c r="D21" s="450">
        <v>100</v>
      </c>
      <c r="E21" s="452"/>
      <c r="F21" s="455">
        <f>SUMIF(94:94,E22,95:95)-SUMIF(94:94,C22,95:95)+100</f>
        <v>98</v>
      </c>
      <c r="G21" s="452"/>
      <c r="H21" s="450">
        <f>SUMIF(94:94,G22,95:95)-SUMIF(94:94,C22,95:95)+100</f>
        <v>98</v>
      </c>
      <c r="I21" s="452"/>
      <c r="J21" s="450">
        <f>SUMIF(94:94,I22,95:95)-SUMIF(94:94,C22,95:95)+100</f>
        <v>98</v>
      </c>
      <c r="K21" s="673">
        <v>2</v>
      </c>
      <c r="L21" s="1143"/>
      <c r="M21" s="1134"/>
      <c r="N21" s="1134"/>
      <c r="O21" s="1142"/>
      <c r="P21" s="3182"/>
      <c r="Q21" s="1812" t="str">
        <f>B21</f>
        <v>交通便捷度</v>
      </c>
      <c r="R21" s="774" t="s">
        <v>17</v>
      </c>
      <c r="S21" s="775">
        <f>F21</f>
        <v>98</v>
      </c>
      <c r="T21" s="774" t="s">
        <v>17</v>
      </c>
      <c r="U21" s="775">
        <f>H21</f>
        <v>98</v>
      </c>
      <c r="V21" s="774" t="s">
        <v>17</v>
      </c>
      <c r="W21" s="775">
        <f>J21</f>
        <v>98</v>
      </c>
      <c r="X21" s="1815"/>
      <c r="Y21" s="3182"/>
      <c r="Z21" s="1816" t="str">
        <f>Q21</f>
        <v>交通便捷度</v>
      </c>
      <c r="AA21" s="1813">
        <f t="shared" si="3"/>
        <v>1.0204081632653061</v>
      </c>
      <c r="AB21" s="1813">
        <f t="shared" si="4"/>
        <v>1.0204081632653061</v>
      </c>
      <c r="AC21" s="1813">
        <f t="shared" si="5"/>
        <v>1.0204081632653061</v>
      </c>
    </row>
    <row r="22" spans="1:29" ht="15">
      <c r="A22" s="428"/>
      <c r="B22" s="1387"/>
      <c r="C22" s="447" t="s">
        <v>3237</v>
      </c>
      <c r="D22" s="450"/>
      <c r="E22" s="2611" t="s">
        <v>3238</v>
      </c>
      <c r="F22" s="448"/>
      <c r="G22" s="2611" t="s">
        <v>3238</v>
      </c>
      <c r="H22" s="448"/>
      <c r="I22" s="2611" t="s">
        <v>3238</v>
      </c>
      <c r="J22" s="448"/>
      <c r="K22" s="672"/>
      <c r="L22" s="1143"/>
      <c r="M22" s="1134"/>
      <c r="N22" s="1134"/>
      <c r="O22" s="1142"/>
      <c r="P22" s="3182"/>
      <c r="Q22" s="1812"/>
      <c r="R22" s="774"/>
      <c r="S22" s="775"/>
      <c r="T22" s="774"/>
      <c r="U22" s="775"/>
      <c r="V22" s="774"/>
      <c r="W22" s="775"/>
      <c r="X22" s="1815"/>
      <c r="Y22" s="3182"/>
      <c r="Z22" s="1816"/>
      <c r="AA22" s="1813">
        <v>1</v>
      </c>
      <c r="AB22" s="1813">
        <v>1</v>
      </c>
      <c r="AC22" s="1813">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2"/>
      <c r="J23" s="455">
        <f>SUMIF(96:96,I24,97:97)-SUMIF(96:96,C24,97:97)+100</f>
        <v>100</v>
      </c>
      <c r="K23" s="673">
        <v>5</v>
      </c>
      <c r="L23" s="1143"/>
      <c r="M23" s="1134"/>
      <c r="N23" s="1134"/>
      <c r="O23" s="1142"/>
      <c r="P23" s="3182"/>
      <c r="Q23" s="1812" t="str">
        <f t="shared" ref="Q23:Q37" si="8">B23</f>
        <v>区域土地利用方向</v>
      </c>
      <c r="R23" s="774" t="s">
        <v>17</v>
      </c>
      <c r="S23" s="775">
        <f>F23</f>
        <v>100</v>
      </c>
      <c r="T23" s="774" t="s">
        <v>17</v>
      </c>
      <c r="U23" s="775">
        <f>H23</f>
        <v>100</v>
      </c>
      <c r="V23" s="774" t="s">
        <v>17</v>
      </c>
      <c r="W23" s="775">
        <f>J23</f>
        <v>100</v>
      </c>
      <c r="X23" s="1815"/>
      <c r="Y23" s="3182"/>
      <c r="Z23" s="1816" t="str">
        <f>Q23</f>
        <v>区域土地利用方向</v>
      </c>
      <c r="AA23" s="1813">
        <f t="shared" si="3"/>
        <v>1</v>
      </c>
      <c r="AB23" s="1813">
        <f t="shared" si="4"/>
        <v>1</v>
      </c>
      <c r="AC23" s="1813">
        <f t="shared" si="5"/>
        <v>1</v>
      </c>
    </row>
    <row r="24" spans="1:29" ht="15">
      <c r="A24" s="404"/>
      <c r="B24" s="456"/>
      <c r="C24" s="616" t="s">
        <v>3234</v>
      </c>
      <c r="D24" s="448"/>
      <c r="E24" s="2611" t="s">
        <v>3234</v>
      </c>
      <c r="F24" s="448"/>
      <c r="G24" s="2610" t="s">
        <v>3234</v>
      </c>
      <c r="H24" s="448"/>
      <c r="I24" s="2611" t="s">
        <v>3234</v>
      </c>
      <c r="J24" s="448"/>
      <c r="K24" s="812"/>
      <c r="L24" s="1143"/>
      <c r="M24" s="1134"/>
      <c r="N24" s="1134"/>
      <c r="O24" s="1142"/>
      <c r="P24" s="3182"/>
      <c r="Q24" s="1812"/>
      <c r="R24" s="774"/>
      <c r="S24" s="775"/>
      <c r="T24" s="774"/>
      <c r="U24" s="775"/>
      <c r="V24" s="774"/>
      <c r="W24" s="775"/>
      <c r="X24" s="1815"/>
      <c r="Y24" s="3182"/>
      <c r="Z24" s="1816"/>
      <c r="AA24" s="1813"/>
      <c r="AB24" s="1813"/>
      <c r="AC24" s="1813"/>
    </row>
    <row r="25" spans="1:29" ht="57">
      <c r="A25" s="404"/>
      <c r="B25" s="1387" t="s">
        <v>2750</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2"/>
      <c r="J25" s="450">
        <f>SUMIF(98:98,I26,99:99)-SUMIF(98:98,C26,99:99)+100</f>
        <v>98</v>
      </c>
      <c r="K25" s="673">
        <v>2</v>
      </c>
      <c r="L25" s="1143"/>
      <c r="M25" s="1134"/>
      <c r="N25" s="1134"/>
      <c r="O25" s="1142"/>
      <c r="P25" s="3182"/>
      <c r="Q25" s="1812" t="str">
        <f t="shared" si="8"/>
        <v>自然及人文环境状况</v>
      </c>
      <c r="R25" s="774" t="s">
        <v>17</v>
      </c>
      <c r="S25" s="775">
        <f>F25</f>
        <v>100</v>
      </c>
      <c r="T25" s="774" t="s">
        <v>17</v>
      </c>
      <c r="U25" s="775">
        <f>H25</f>
        <v>100</v>
      </c>
      <c r="V25" s="774" t="s">
        <v>17</v>
      </c>
      <c r="W25" s="775">
        <f>J25</f>
        <v>98</v>
      </c>
      <c r="X25" s="1815"/>
      <c r="Y25" s="3182"/>
      <c r="Z25" s="1816" t="str">
        <f>Q25</f>
        <v>自然及人文环境状况</v>
      </c>
      <c r="AA25" s="1813">
        <f t="shared" si="3"/>
        <v>1</v>
      </c>
      <c r="AB25" s="1813">
        <f t="shared" si="4"/>
        <v>1</v>
      </c>
      <c r="AC25" s="1813">
        <f t="shared" si="5"/>
        <v>1.0204081632653061</v>
      </c>
    </row>
    <row r="26" spans="1:29" ht="15">
      <c r="A26" s="404"/>
      <c r="B26" s="456"/>
      <c r="C26" s="447" t="s">
        <v>3237</v>
      </c>
      <c r="D26" s="448"/>
      <c r="E26" s="2617" t="s">
        <v>3237</v>
      </c>
      <c r="F26" s="448"/>
      <c r="G26" s="2617" t="s">
        <v>3237</v>
      </c>
      <c r="H26" s="448"/>
      <c r="I26" s="2617" t="s">
        <v>3238</v>
      </c>
      <c r="J26" s="448"/>
      <c r="K26" s="672"/>
      <c r="L26" s="1143"/>
      <c r="M26" s="1134"/>
      <c r="N26" s="1134"/>
      <c r="O26" s="1142"/>
      <c r="P26" s="3182"/>
      <c r="Q26" s="1812"/>
      <c r="R26" s="774"/>
      <c r="S26" s="775"/>
      <c r="T26" s="774"/>
      <c r="U26" s="775"/>
      <c r="V26" s="774"/>
      <c r="W26" s="775"/>
      <c r="X26" s="1815"/>
      <c r="Y26" s="3182"/>
      <c r="Z26" s="1816"/>
      <c r="AA26" s="1813">
        <v>1</v>
      </c>
      <c r="AB26" s="1813">
        <v>1</v>
      </c>
      <c r="AC26" s="1813">
        <v>1</v>
      </c>
    </row>
    <row r="27" spans="1:29" s="117" customFormat="1" ht="42.75">
      <c r="A27" s="649"/>
      <c r="B27" s="1387" t="s">
        <v>2655</v>
      </c>
      <c r="C27" s="2613" t="str">
        <f>估价对象房地状况!C21</f>
        <v>估价对象所在区域公共配套设施齐备情况</v>
      </c>
      <c r="D27" s="450">
        <v>100</v>
      </c>
      <c r="E27" s="452"/>
      <c r="F27" s="450">
        <f>SUMIF(100:100,E28,101:101)-SUMIF(100:100,C28,101:101)+100</f>
        <v>98</v>
      </c>
      <c r="G27" s="452"/>
      <c r="H27" s="450">
        <f>SUMIF(100:100,G28,101:101)-SUMIF(100:100,C28,101:101)+100</f>
        <v>98</v>
      </c>
      <c r="I27" s="452"/>
      <c r="J27" s="450">
        <f>SUMIF(100:100,I28,101:101)-SUMIF(100:100,C28,101:101)+100</f>
        <v>98</v>
      </c>
      <c r="K27" s="673">
        <v>2</v>
      </c>
      <c r="L27" s="1135"/>
      <c r="M27" s="1136"/>
      <c r="N27" s="1136"/>
      <c r="O27" s="1137"/>
      <c r="P27" s="3182"/>
      <c r="Q27" s="1797" t="str">
        <f t="shared" si="8"/>
        <v>公共配套设施</v>
      </c>
      <c r="R27" s="770" t="s">
        <v>17</v>
      </c>
      <c r="S27" s="771">
        <f>F27</f>
        <v>98</v>
      </c>
      <c r="T27" s="770" t="s">
        <v>17</v>
      </c>
      <c r="U27" s="771">
        <f>H27</f>
        <v>98</v>
      </c>
      <c r="V27" s="770" t="s">
        <v>17</v>
      </c>
      <c r="W27" s="771">
        <f>J27</f>
        <v>98</v>
      </c>
      <c r="X27" s="772"/>
      <c r="Y27" s="3182"/>
      <c r="Z27" s="55" t="str">
        <f>Q27</f>
        <v>公共配套设施</v>
      </c>
      <c r="AA27" s="1813">
        <f>D27/F27</f>
        <v>1.0204081632653061</v>
      </c>
      <c r="AB27" s="1813">
        <f>D27/H27</f>
        <v>1.0204081632653061</v>
      </c>
      <c r="AC27" s="1813">
        <f>D27/J27</f>
        <v>1.0204081632653061</v>
      </c>
    </row>
    <row r="28" spans="1:29" s="117" customFormat="1" ht="15">
      <c r="A28" s="649"/>
      <c r="B28" s="456"/>
      <c r="C28" s="2706" t="s">
        <v>3237</v>
      </c>
      <c r="D28" s="448"/>
      <c r="E28" s="2617" t="s">
        <v>3238</v>
      </c>
      <c r="F28" s="448"/>
      <c r="G28" s="2617" t="s">
        <v>3238</v>
      </c>
      <c r="H28" s="448"/>
      <c r="I28" s="2617" t="s">
        <v>3238</v>
      </c>
      <c r="J28" s="448"/>
      <c r="K28" s="672"/>
      <c r="L28" s="1135"/>
      <c r="M28" s="1136"/>
      <c r="N28" s="1136"/>
      <c r="O28" s="1137"/>
      <c r="P28" s="3182"/>
      <c r="Q28" s="1797"/>
      <c r="R28" s="770"/>
      <c r="S28" s="771"/>
      <c r="T28" s="770"/>
      <c r="U28" s="771"/>
      <c r="V28" s="770"/>
      <c r="W28" s="771"/>
      <c r="X28" s="772"/>
      <c r="Y28" s="3182"/>
      <c r="Z28" s="55"/>
      <c r="AA28" s="1813">
        <v>1</v>
      </c>
      <c r="AB28" s="1813">
        <v>1</v>
      </c>
      <c r="AC28" s="1813">
        <v>1</v>
      </c>
    </row>
    <row r="29" spans="1:29" s="117" customFormat="1" ht="28.5">
      <c r="A29" s="649"/>
      <c r="B29" s="1387" t="s">
        <v>2656</v>
      </c>
      <c r="C29" s="2613" t="str">
        <f>估价对象房地状况!C22</f>
        <v>估价对象所在区域基础设施水平</v>
      </c>
      <c r="D29" s="450">
        <v>100</v>
      </c>
      <c r="E29" s="452"/>
      <c r="F29" s="450">
        <f>SUMIF(102:102,E30,103:103)-SUMIF(102:102,C30,103:103)+100</f>
        <v>97</v>
      </c>
      <c r="G29" s="452"/>
      <c r="H29" s="450">
        <f>SUMIF(102:102,G30,103:103)-SUMIF(102:102,C30,103:103)+100</f>
        <v>97</v>
      </c>
      <c r="I29" s="452"/>
      <c r="J29" s="450">
        <f>SUMIF(102:102,I30,103:103)-SUMIF(102:102,C30,103:103)+100</f>
        <v>97</v>
      </c>
      <c r="K29" s="673">
        <v>1</v>
      </c>
      <c r="L29" s="1135"/>
      <c r="M29" s="1136"/>
      <c r="N29" s="1136"/>
      <c r="O29" s="1137"/>
      <c r="P29" s="3182"/>
      <c r="Q29" s="1797" t="str">
        <f t="shared" ref="Q29" si="9">B29</f>
        <v>基础设施水平</v>
      </c>
      <c r="R29" s="770" t="s">
        <v>17</v>
      </c>
      <c r="S29" s="771">
        <f>F29</f>
        <v>97</v>
      </c>
      <c r="T29" s="770" t="s">
        <v>17</v>
      </c>
      <c r="U29" s="771">
        <f>H29</f>
        <v>97</v>
      </c>
      <c r="V29" s="770" t="s">
        <v>17</v>
      </c>
      <c r="W29" s="771">
        <f>J29</f>
        <v>97</v>
      </c>
      <c r="X29" s="772"/>
      <c r="Y29" s="3182"/>
      <c r="Z29" s="55" t="str">
        <f>Q29</f>
        <v>基础设施水平</v>
      </c>
      <c r="AA29" s="1813">
        <f>D29/F29</f>
        <v>1.0309278350515463</v>
      </c>
      <c r="AB29" s="1813">
        <f>D29/H29</f>
        <v>1.0309278350515463</v>
      </c>
      <c r="AC29" s="1813">
        <f>D29/J29</f>
        <v>1.0309278350515463</v>
      </c>
    </row>
    <row r="30" spans="1:29" s="117" customFormat="1" ht="15">
      <c r="A30" s="649"/>
      <c r="B30" s="456"/>
      <c r="C30" s="2706" t="s">
        <v>3240</v>
      </c>
      <c r="D30" s="448"/>
      <c r="E30" s="2707" t="s">
        <v>3241</v>
      </c>
      <c r="F30" s="448"/>
      <c r="G30" s="2707" t="s">
        <v>3241</v>
      </c>
      <c r="H30" s="448"/>
      <c r="I30" s="2707" t="s">
        <v>3241</v>
      </c>
      <c r="J30" s="448"/>
      <c r="K30" s="672"/>
      <c r="L30" s="1135"/>
      <c r="M30" s="1136"/>
      <c r="N30" s="1136"/>
      <c r="O30" s="1137"/>
      <c r="P30" s="3182"/>
      <c r="Q30" s="1797"/>
      <c r="R30" s="770"/>
      <c r="S30" s="771"/>
      <c r="T30" s="770"/>
      <c r="U30" s="771"/>
      <c r="V30" s="770"/>
      <c r="W30" s="771"/>
      <c r="X30" s="772"/>
      <c r="Y30" s="3182"/>
      <c r="Z30" s="55"/>
      <c r="AA30" s="1813">
        <v>1</v>
      </c>
      <c r="AB30" s="1813">
        <v>1</v>
      </c>
      <c r="AC30" s="1813">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2"/>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82"/>
      <c r="Z31" s="1816" t="str">
        <f t="shared" ref="Z31:Z45" si="13">Q31</f>
        <v>临街状况</v>
      </c>
      <c r="AA31" s="1813">
        <f t="shared" si="3"/>
        <v>1</v>
      </c>
      <c r="AB31" s="1813">
        <f t="shared" si="4"/>
        <v>1</v>
      </c>
      <c r="AC31" s="1813">
        <f t="shared" si="5"/>
        <v>1</v>
      </c>
    </row>
    <row r="32" spans="1:29" ht="27">
      <c r="A32" s="428"/>
      <c r="B32" s="1387" t="s">
        <v>2692</v>
      </c>
      <c r="C32" s="454"/>
      <c r="D32" s="450">
        <v>100</v>
      </c>
      <c r="E32" s="452"/>
      <c r="F32" s="450">
        <f>SUMIF(106:106,E33,107:107)-SUMIF(106:106,C33,107:107)+100</f>
        <v>101</v>
      </c>
      <c r="G32" s="452"/>
      <c r="H32" s="450">
        <f>SUMIF(106:106,G33,107:107)-SUMIF(106:106,C33,107:107)+100</f>
        <v>100</v>
      </c>
      <c r="I32" s="454"/>
      <c r="J32" s="450">
        <f>SUMIF(106:106,I33,107:107)-SUMIF(106:106,C33,107:107)+100</f>
        <v>100</v>
      </c>
      <c r="K32" s="673">
        <v>1</v>
      </c>
      <c r="L32" s="1143"/>
      <c r="M32" s="1134"/>
      <c r="N32" s="1134"/>
      <c r="O32" s="1142"/>
      <c r="P32" s="3182"/>
      <c r="Q32" s="1812" t="str">
        <f t="shared" si="8"/>
        <v>毗邻道路的类型与等级</v>
      </c>
      <c r="R32" s="774" t="s">
        <v>17</v>
      </c>
      <c r="S32" s="775">
        <f t="shared" si="10"/>
        <v>101</v>
      </c>
      <c r="T32" s="774" t="s">
        <v>17</v>
      </c>
      <c r="U32" s="775">
        <f t="shared" si="11"/>
        <v>100</v>
      </c>
      <c r="V32" s="774" t="s">
        <v>17</v>
      </c>
      <c r="W32" s="775">
        <f t="shared" si="12"/>
        <v>100</v>
      </c>
      <c r="X32" s="1815"/>
      <c r="Y32" s="3182"/>
      <c r="Z32" s="1816" t="str">
        <f t="shared" si="13"/>
        <v>毗邻道路的类型与等级</v>
      </c>
      <c r="AA32" s="1813">
        <f t="shared" si="3"/>
        <v>0.99009900990099009</v>
      </c>
      <c r="AB32" s="1813">
        <f t="shared" si="4"/>
        <v>1</v>
      </c>
      <c r="AC32" s="1813">
        <f t="shared" si="5"/>
        <v>1</v>
      </c>
    </row>
    <row r="33" spans="1:29" ht="15">
      <c r="A33" s="428"/>
      <c r="B33" s="456"/>
      <c r="C33" s="447" t="s">
        <v>3265</v>
      </c>
      <c r="D33" s="448"/>
      <c r="E33" s="2617" t="s">
        <v>3266</v>
      </c>
      <c r="F33" s="448"/>
      <c r="G33" s="2617" t="s">
        <v>3265</v>
      </c>
      <c r="H33" s="448"/>
      <c r="I33" s="447" t="s">
        <v>3265</v>
      </c>
      <c r="J33" s="448"/>
      <c r="K33" s="613"/>
      <c r="L33" s="1143"/>
      <c r="M33" s="1134"/>
      <c r="N33" s="1134"/>
      <c r="O33" s="1142"/>
      <c r="P33" s="3182"/>
      <c r="Q33" s="1812"/>
      <c r="R33" s="774"/>
      <c r="S33" s="775"/>
      <c r="T33" s="774"/>
      <c r="U33" s="775"/>
      <c r="V33" s="774"/>
      <c r="W33" s="775"/>
      <c r="X33" s="1815"/>
      <c r="Y33" s="3182"/>
      <c r="Z33" s="1816"/>
      <c r="AA33" s="1813">
        <v>1</v>
      </c>
      <c r="AB33" s="1813">
        <v>1</v>
      </c>
      <c r="AC33" s="1813">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2"/>
      <c r="Q34" s="1812" t="str">
        <f t="shared" si="8"/>
        <v>土地级别</v>
      </c>
      <c r="R34" s="774" t="s">
        <v>17</v>
      </c>
      <c r="S34" s="775">
        <f t="shared" si="10"/>
        <v>100</v>
      </c>
      <c r="T34" s="774" t="s">
        <v>17</v>
      </c>
      <c r="U34" s="775">
        <f t="shared" si="11"/>
        <v>100</v>
      </c>
      <c r="V34" s="774" t="s">
        <v>17</v>
      </c>
      <c r="W34" s="775">
        <f t="shared" si="12"/>
        <v>100</v>
      </c>
      <c r="X34" s="1815"/>
      <c r="Y34" s="3182"/>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2"/>
      <c r="Q35" s="1812">
        <f t="shared" si="8"/>
        <v>111</v>
      </c>
      <c r="R35" s="774" t="s">
        <v>17</v>
      </c>
      <c r="S35" s="775">
        <f t="shared" si="10"/>
        <v>100</v>
      </c>
      <c r="T35" s="774" t="s">
        <v>17</v>
      </c>
      <c r="U35" s="775">
        <f t="shared" si="11"/>
        <v>100</v>
      </c>
      <c r="V35" s="774" t="s">
        <v>17</v>
      </c>
      <c r="W35" s="775">
        <f t="shared" si="12"/>
        <v>100</v>
      </c>
      <c r="X35" s="1815"/>
      <c r="Y35" s="3182"/>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3" t="s">
        <v>2566</v>
      </c>
      <c r="Q36" s="1812">
        <f t="shared" si="8"/>
        <v>111</v>
      </c>
      <c r="R36" s="774" t="s">
        <v>17</v>
      </c>
      <c r="S36" s="775">
        <f t="shared" si="10"/>
        <v>100</v>
      </c>
      <c r="T36" s="774" t="s">
        <v>17</v>
      </c>
      <c r="U36" s="775">
        <f t="shared" si="11"/>
        <v>100</v>
      </c>
      <c r="V36" s="774" t="s">
        <v>17</v>
      </c>
      <c r="W36" s="775">
        <f t="shared" si="12"/>
        <v>100</v>
      </c>
      <c r="X36" s="1815"/>
      <c r="Y36" s="3184" t="s">
        <v>2566</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4"/>
      <c r="Q37" s="1812">
        <f t="shared" si="8"/>
        <v>111</v>
      </c>
      <c r="R37" s="777" t="s">
        <v>17</v>
      </c>
      <c r="S37" s="778">
        <f t="shared" si="10"/>
        <v>100</v>
      </c>
      <c r="T37" s="777" t="s">
        <v>17</v>
      </c>
      <c r="U37" s="778">
        <f t="shared" si="11"/>
        <v>100</v>
      </c>
      <c r="V37" s="777" t="s">
        <v>17</v>
      </c>
      <c r="W37" s="778">
        <f t="shared" si="12"/>
        <v>100</v>
      </c>
      <c r="X37" s="779"/>
      <c r="Y37" s="3184"/>
      <c r="Z37" s="780">
        <f t="shared" si="13"/>
        <v>111</v>
      </c>
      <c r="AA37" s="1813">
        <f t="shared" si="3"/>
        <v>1</v>
      </c>
      <c r="AB37" s="1813">
        <f t="shared" si="4"/>
        <v>1</v>
      </c>
      <c r="AC37" s="1813">
        <f t="shared" si="5"/>
        <v>1</v>
      </c>
    </row>
    <row r="38" spans="1:29" ht="15">
      <c r="A38" s="472" t="s">
        <v>2564</v>
      </c>
      <c r="B38" s="456" t="s">
        <v>2752</v>
      </c>
      <c r="C38" s="679">
        <f>'数据-基础表'!A3</f>
        <v>24812</v>
      </c>
      <c r="D38" s="467">
        <v>100</v>
      </c>
      <c r="E38" s="679">
        <f>Sheet1!G2</f>
        <v>2400</v>
      </c>
      <c r="F38" s="467">
        <f>LOOKUP(E38,117:117,118:118)-LOOKUP(C38,117:117,118:118)+100</f>
        <v>101</v>
      </c>
      <c r="G38" s="679">
        <f>Sheet1!G5</f>
        <v>4265</v>
      </c>
      <c r="H38" s="467">
        <f>LOOKUP(G38,117:117,118:118)-LOOKUP(C38,117:117,118:118)+100</f>
        <v>101</v>
      </c>
      <c r="I38" s="530">
        <f>Sheet1!G14</f>
        <v>60105</v>
      </c>
      <c r="J38" s="467">
        <f>LOOKUP(I38,117:117,118:118)-LOOKUP(C38,117:117,118:118)+100</f>
        <v>98</v>
      </c>
      <c r="K38" s="613"/>
      <c r="L38" s="1143"/>
      <c r="M38" s="1134"/>
      <c r="N38" s="1134"/>
      <c r="O38" s="1142"/>
      <c r="P38" s="3184"/>
      <c r="Q38" s="1812" t="str">
        <f>B38</f>
        <v>宗地面积</v>
      </c>
      <c r="R38" s="774" t="s">
        <v>17</v>
      </c>
      <c r="S38" s="775">
        <f t="shared" si="10"/>
        <v>101</v>
      </c>
      <c r="T38" s="774" t="s">
        <v>17</v>
      </c>
      <c r="U38" s="775">
        <f t="shared" si="11"/>
        <v>101</v>
      </c>
      <c r="V38" s="774" t="s">
        <v>17</v>
      </c>
      <c r="W38" s="775">
        <f t="shared" si="12"/>
        <v>98</v>
      </c>
      <c r="X38" s="1815"/>
      <c r="Y38" s="3184"/>
      <c r="Z38" s="1816" t="str">
        <f t="shared" si="13"/>
        <v>宗地面积</v>
      </c>
      <c r="AA38" s="1813">
        <f t="shared" si="3"/>
        <v>0.99009900990099009</v>
      </c>
      <c r="AB38" s="1813">
        <f t="shared" si="4"/>
        <v>0.99009900990099009</v>
      </c>
      <c r="AC38" s="1813">
        <f t="shared" si="5"/>
        <v>1.0204081632653061</v>
      </c>
    </row>
    <row r="39" spans="1:29" ht="15">
      <c r="A39" s="472"/>
      <c r="B39" s="422" t="s">
        <v>2753</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84"/>
      <c r="Q39" s="1812" t="str">
        <f t="shared" ref="Q39:Q45" si="14">B39</f>
        <v>宗地形状</v>
      </c>
      <c r="R39" s="774" t="s">
        <v>17</v>
      </c>
      <c r="S39" s="775">
        <f t="shared" si="10"/>
        <v>100</v>
      </c>
      <c r="T39" s="774" t="s">
        <v>17</v>
      </c>
      <c r="U39" s="775">
        <f t="shared" si="11"/>
        <v>100</v>
      </c>
      <c r="V39" s="774" t="s">
        <v>17</v>
      </c>
      <c r="W39" s="775">
        <f t="shared" si="12"/>
        <v>100</v>
      </c>
      <c r="X39" s="1815"/>
      <c r="Y39" s="3184"/>
      <c r="Z39" s="1816" t="str">
        <f t="shared" si="13"/>
        <v>宗地形状</v>
      </c>
      <c r="AA39" s="1813">
        <f t="shared" si="3"/>
        <v>1</v>
      </c>
      <c r="AB39" s="1813">
        <f t="shared" si="4"/>
        <v>1</v>
      </c>
      <c r="AC39" s="1813">
        <f t="shared" si="5"/>
        <v>1</v>
      </c>
    </row>
    <row r="40" spans="1:29" ht="15">
      <c r="A40" s="472"/>
      <c r="B40" s="422" t="s">
        <v>2754</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84"/>
      <c r="Q40" s="1812" t="str">
        <f t="shared" si="14"/>
        <v>临街宽度及深度</v>
      </c>
      <c r="R40" s="774" t="s">
        <v>17</v>
      </c>
      <c r="S40" s="775">
        <f t="shared" si="10"/>
        <v>100</v>
      </c>
      <c r="T40" s="774" t="s">
        <v>17</v>
      </c>
      <c r="U40" s="775">
        <f t="shared" si="11"/>
        <v>100</v>
      </c>
      <c r="V40" s="774" t="s">
        <v>17</v>
      </c>
      <c r="W40" s="775">
        <f t="shared" si="12"/>
        <v>100</v>
      </c>
      <c r="X40" s="1815"/>
      <c r="Y40" s="3184"/>
      <c r="Z40" s="1816" t="str">
        <f t="shared" si="13"/>
        <v>临街宽度及深度</v>
      </c>
      <c r="AA40" s="1813">
        <f t="shared" si="3"/>
        <v>1</v>
      </c>
      <c r="AB40" s="1813">
        <f t="shared" si="4"/>
        <v>1</v>
      </c>
      <c r="AC40" s="1813">
        <f t="shared" si="5"/>
        <v>1</v>
      </c>
    </row>
    <row r="41" spans="1:29" s="117" customFormat="1" ht="15">
      <c r="A41" s="473"/>
      <c r="B41" s="422" t="s">
        <v>2755</v>
      </c>
      <c r="C41" s="2708" t="s">
        <v>3268</v>
      </c>
      <c r="D41" s="136">
        <v>100</v>
      </c>
      <c r="E41" s="2708" t="s">
        <v>3270</v>
      </c>
      <c r="F41" s="435">
        <f>SUMIF(123:123,E41,124:124)-SUMIF(123:123,C41,124:124)+100</f>
        <v>98</v>
      </c>
      <c r="G41" s="2708" t="s">
        <v>3270</v>
      </c>
      <c r="H41" s="435">
        <f>SUMIF(123:123,G41,124:124)-SUMIF(123:123,C41,124:124)+100</f>
        <v>98</v>
      </c>
      <c r="I41" s="2708" t="s">
        <v>3270</v>
      </c>
      <c r="J41" s="435">
        <f>SUMIF(123:123,I41,124:124)-SUMIF(123:123,C41,124:124)+100</f>
        <v>98</v>
      </c>
      <c r="K41" s="612">
        <v>1</v>
      </c>
      <c r="L41" s="1135"/>
      <c r="M41" s="1136"/>
      <c r="N41" s="1136"/>
      <c r="O41" s="1137"/>
      <c r="P41" s="3184"/>
      <c r="Q41" s="1812" t="str">
        <f t="shared" si="14"/>
        <v>宗地开发程度</v>
      </c>
      <c r="R41" s="770" t="s">
        <v>17</v>
      </c>
      <c r="S41" s="771">
        <f t="shared" si="10"/>
        <v>98</v>
      </c>
      <c r="T41" s="770" t="s">
        <v>17</v>
      </c>
      <c r="U41" s="771">
        <f t="shared" si="11"/>
        <v>98</v>
      </c>
      <c r="V41" s="770" t="s">
        <v>17</v>
      </c>
      <c r="W41" s="771">
        <f t="shared" si="12"/>
        <v>98</v>
      </c>
      <c r="X41" s="772"/>
      <c r="Y41" s="3184"/>
      <c r="Z41" s="55" t="str">
        <f t="shared" si="13"/>
        <v>宗地开发程度</v>
      </c>
      <c r="AA41" s="773">
        <f t="shared" si="3"/>
        <v>1.0204081632653061</v>
      </c>
      <c r="AB41" s="773">
        <f t="shared" si="4"/>
        <v>1.0204081632653061</v>
      </c>
      <c r="AC41" s="773">
        <f t="shared" si="5"/>
        <v>1.0204081632653061</v>
      </c>
    </row>
    <row r="42" spans="1:29" ht="15">
      <c r="A42" s="472"/>
      <c r="B42" s="422" t="s">
        <v>2756</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84" t="s">
        <v>2566</v>
      </c>
      <c r="Q42" s="1812" t="str">
        <f t="shared" si="14"/>
        <v>工程地质条件</v>
      </c>
      <c r="R42" s="774" t="s">
        <v>17</v>
      </c>
      <c r="S42" s="775">
        <f t="shared" si="10"/>
        <v>100</v>
      </c>
      <c r="T42" s="774" t="s">
        <v>17</v>
      </c>
      <c r="U42" s="775">
        <f t="shared" si="11"/>
        <v>100</v>
      </c>
      <c r="V42" s="774" t="s">
        <v>17</v>
      </c>
      <c r="W42" s="775">
        <f t="shared" si="12"/>
        <v>100</v>
      </c>
      <c r="X42" s="1815"/>
      <c r="Y42" s="3184" t="s">
        <v>2566</v>
      </c>
      <c r="Z42" s="1816" t="str">
        <f t="shared" si="13"/>
        <v>工程地质条件</v>
      </c>
      <c r="AA42" s="1813">
        <f t="shared" si="3"/>
        <v>1</v>
      </c>
      <c r="AB42" s="1813">
        <f t="shared" si="4"/>
        <v>1</v>
      </c>
      <c r="AC42" s="1813">
        <f t="shared" si="5"/>
        <v>1</v>
      </c>
    </row>
    <row r="43" spans="1:29" ht="15">
      <c r="A43" s="472"/>
      <c r="B43" s="2958" t="s">
        <v>3260</v>
      </c>
      <c r="C43" s="2957" t="s">
        <v>3267</v>
      </c>
      <c r="D43" s="435">
        <v>100</v>
      </c>
      <c r="E43" s="2957" t="s">
        <v>3258</v>
      </c>
      <c r="F43" s="435">
        <f>SUMIF(127:127,E43,128:128)-SUMIF(127:127,C43,128:128)+100</f>
        <v>102</v>
      </c>
      <c r="G43" s="2957" t="s">
        <v>3261</v>
      </c>
      <c r="H43" s="435">
        <f>SUMIF(127:127,G43,128:128)-SUMIF(127:127,C43,128:128)+100</f>
        <v>102</v>
      </c>
      <c r="I43" s="2957" t="s">
        <v>3261</v>
      </c>
      <c r="J43" s="435">
        <f>SUMIF(127:127,I43,128:128)-SUMIF(127:127,C43,128:128)+100</f>
        <v>102</v>
      </c>
      <c r="K43" s="613"/>
      <c r="L43" s="1143"/>
      <c r="M43" s="1134"/>
      <c r="N43" s="1134"/>
      <c r="O43" s="1142"/>
      <c r="P43" s="3184"/>
      <c r="Q43" s="1812" t="str">
        <f t="shared" si="14"/>
        <v>建筑物转让受限</v>
      </c>
      <c r="R43" s="774" t="s">
        <v>17</v>
      </c>
      <c r="S43" s="775">
        <f t="shared" si="10"/>
        <v>102</v>
      </c>
      <c r="T43" s="774" t="s">
        <v>17</v>
      </c>
      <c r="U43" s="775">
        <f t="shared" si="11"/>
        <v>102</v>
      </c>
      <c r="V43" s="774" t="s">
        <v>17</v>
      </c>
      <c r="W43" s="775">
        <f t="shared" si="12"/>
        <v>102</v>
      </c>
      <c r="X43" s="1815"/>
      <c r="Y43" s="3184"/>
      <c r="Z43" s="1816" t="str">
        <f t="shared" si="13"/>
        <v>建筑物转让受限</v>
      </c>
      <c r="AA43" s="1813">
        <f t="shared" si="3"/>
        <v>0.98039215686274506</v>
      </c>
      <c r="AB43" s="1813">
        <f t="shared" si="4"/>
        <v>0.98039215686274506</v>
      </c>
      <c r="AC43" s="1813">
        <f t="shared" si="5"/>
        <v>0.98039215686274506</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4"/>
      <c r="Q44" s="1812">
        <f t="shared" si="14"/>
        <v>111</v>
      </c>
      <c r="R44" s="774" t="s">
        <v>17</v>
      </c>
      <c r="S44" s="775">
        <f t="shared" si="10"/>
        <v>100</v>
      </c>
      <c r="T44" s="774" t="s">
        <v>17</v>
      </c>
      <c r="U44" s="775">
        <f t="shared" si="11"/>
        <v>100</v>
      </c>
      <c r="V44" s="774" t="s">
        <v>17</v>
      </c>
      <c r="W44" s="775">
        <f t="shared" si="12"/>
        <v>100</v>
      </c>
      <c r="X44" s="1815"/>
      <c r="Y44" s="3184"/>
      <c r="Z44" s="1816">
        <f t="shared" si="13"/>
        <v>111</v>
      </c>
      <c r="AA44" s="1813">
        <f t="shared" si="3"/>
        <v>1</v>
      </c>
      <c r="AB44" s="1813">
        <f t="shared" si="4"/>
        <v>1</v>
      </c>
      <c r="AC44" s="1813">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4"/>
      <c r="Q45" s="1812">
        <f t="shared" si="14"/>
        <v>111</v>
      </c>
      <c r="R45" s="777" t="s">
        <v>17</v>
      </c>
      <c r="S45" s="778">
        <f t="shared" si="10"/>
        <v>100</v>
      </c>
      <c r="T45" s="777" t="s">
        <v>17</v>
      </c>
      <c r="U45" s="778">
        <f t="shared" si="11"/>
        <v>100</v>
      </c>
      <c r="V45" s="777" t="s">
        <v>17</v>
      </c>
      <c r="W45" s="778">
        <f t="shared" si="12"/>
        <v>100</v>
      </c>
      <c r="X45" s="779"/>
      <c r="Y45" s="3184"/>
      <c r="Z45" s="780">
        <f t="shared" si="13"/>
        <v>111</v>
      </c>
      <c r="AA45" s="1813">
        <f t="shared" si="3"/>
        <v>1</v>
      </c>
      <c r="AB45" s="1813">
        <f t="shared" si="4"/>
        <v>1</v>
      </c>
      <c r="AC45" s="1813">
        <f t="shared" si="5"/>
        <v>1</v>
      </c>
    </row>
    <row r="46" spans="1:29" ht="15">
      <c r="A46" s="479" t="s">
        <v>2721</v>
      </c>
      <c r="B46" s="2710" t="s">
        <v>3239</v>
      </c>
      <c r="C46" s="682" t="s">
        <v>1</v>
      </c>
      <c r="D46" s="481"/>
      <c r="E46" s="482">
        <f>Sheet1!N2</f>
        <v>1321</v>
      </c>
      <c r="F46" s="483"/>
      <c r="G46" s="484">
        <f>Sheet1!N5</f>
        <v>1200</v>
      </c>
      <c r="H46" s="485"/>
      <c r="I46" s="482">
        <f>Sheet1!N14</f>
        <v>1051</v>
      </c>
      <c r="J46" s="485"/>
      <c r="K46" s="783"/>
      <c r="L46" s="1146"/>
      <c r="M46" s="1147"/>
      <c r="N46" s="1134"/>
      <c r="O46" s="1147"/>
      <c r="P46" s="3166" t="str">
        <f>A46</f>
        <v>成交单价</v>
      </c>
      <c r="Q46" s="3166"/>
      <c r="R46" s="3179">
        <f>E46</f>
        <v>1321</v>
      </c>
      <c r="S46" s="3179"/>
      <c r="T46" s="3179">
        <f>G46</f>
        <v>1200</v>
      </c>
      <c r="U46" s="3179"/>
      <c r="V46" s="3179">
        <f>I46</f>
        <v>1051</v>
      </c>
      <c r="W46" s="3179"/>
      <c r="X46" s="759"/>
      <c r="Y46" s="781"/>
      <c r="Z46" s="759"/>
      <c r="AA46" s="759"/>
      <c r="AB46" s="759"/>
      <c r="AC46" s="759"/>
    </row>
    <row r="47" spans="1:29" ht="15.75" thickBot="1">
      <c r="A47" s="486" t="s">
        <v>2670</v>
      </c>
      <c r="B47" s="683"/>
      <c r="C47" s="490">
        <f>R48</f>
        <v>1274</v>
      </c>
      <c r="D47" s="489"/>
      <c r="E47" s="490">
        <f>R47</f>
        <v>1405</v>
      </c>
      <c r="F47" s="491"/>
      <c r="G47" s="488">
        <f>T47</f>
        <v>1252</v>
      </c>
      <c r="H47" s="489"/>
      <c r="I47" s="490">
        <f>V47</f>
        <v>1165</v>
      </c>
      <c r="J47" s="489"/>
      <c r="K47" s="784"/>
      <c r="L47" s="1146"/>
      <c r="M47" s="1147"/>
      <c r="N47" s="1147"/>
      <c r="O47" s="1147"/>
      <c r="P47" s="3166" t="str">
        <f>A47</f>
        <v>比较价值（元/平方米）</v>
      </c>
      <c r="Q47" s="3166"/>
      <c r="R47" s="3185">
        <f>ROUND(PRODUCT(R46,AA7:AA45),0)</f>
        <v>1405</v>
      </c>
      <c r="S47" s="3185"/>
      <c r="T47" s="3185">
        <f>ROUND(PRODUCT(T46,AB7:AB45),0)</f>
        <v>1252</v>
      </c>
      <c r="U47" s="3185"/>
      <c r="V47" s="3185">
        <f>ROUND(PRODUCT(V46,AC7:AC45),0)</f>
        <v>1165</v>
      </c>
      <c r="W47" s="3185"/>
      <c r="X47" s="759"/>
      <c r="Y47" s="759"/>
      <c r="Z47" s="759"/>
      <c r="AA47" s="759"/>
      <c r="AB47" s="759"/>
      <c r="AC47" s="759"/>
    </row>
    <row r="48" spans="1:29" ht="15.75" thickBot="1">
      <c r="A48" s="492" t="s">
        <v>2757</v>
      </c>
      <c r="B48" s="493"/>
      <c r="C48" s="494">
        <f>R48</f>
        <v>1274</v>
      </c>
      <c r="D48" s="494"/>
      <c r="E48" s="494"/>
      <c r="F48" s="494"/>
      <c r="G48" s="494"/>
      <c r="H48" s="494"/>
      <c r="I48" s="494"/>
      <c r="J48" s="494"/>
      <c r="K48" s="785"/>
      <c r="L48" s="1146"/>
      <c r="M48" s="1147"/>
      <c r="N48" s="1147"/>
      <c r="O48" s="1147"/>
      <c r="P48" s="3186" t="str">
        <f>A48</f>
        <v>估价对象XX用房的比较价值（楼面单价，元/平方米）</v>
      </c>
      <c r="Q48" s="3187"/>
      <c r="R48" s="3188">
        <f>ROUND(AVERAGE(R47:V47),0)</f>
        <v>1274</v>
      </c>
      <c r="S48" s="3188"/>
      <c r="T48" s="3188"/>
      <c r="U48" s="3188"/>
      <c r="V48" s="3188"/>
      <c r="W48" s="318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6.3588190764572339E-2</v>
      </c>
      <c r="F51" s="500" t="str">
        <f>IF(OR(E51&gt;=0.3,E51&lt;=-0.3),"超过30%","")</f>
        <v/>
      </c>
      <c r="G51" s="499">
        <f>IF(G46&lt;G47,G47/G46-1,G46/G47-1)</f>
        <v>4.3333333333333224E-2</v>
      </c>
      <c r="H51" s="500" t="str">
        <f>IF(OR(G51&gt;=0.3,G51&lt;=-0.3),"超过30%","")</f>
        <v/>
      </c>
      <c r="I51" s="499">
        <f>IF(I46&lt;I47,I47/I46-1,I46/I47-1)</f>
        <v>0.10846812559467178</v>
      </c>
      <c r="J51" s="500" t="str">
        <f>IF(OR(I51&gt;=0.3,I51&lt;=-0.3),"超过30%","")</f>
        <v/>
      </c>
      <c r="K51" s="1108"/>
      <c r="L51" s="1109"/>
      <c r="M51" s="1147"/>
      <c r="N51" s="1147"/>
      <c r="O51" s="1147"/>
    </row>
    <row r="52" spans="1:15" ht="13.5" customHeight="1">
      <c r="A52" s="1147"/>
      <c r="B52" s="1147"/>
      <c r="C52" s="497" t="s">
        <v>2673</v>
      </c>
      <c r="D52" s="501"/>
      <c r="E52" s="499">
        <f>IF(E47&lt;G47,G47/E47-1,E47/G47-1)</f>
        <v>0.12220447284345037</v>
      </c>
      <c r="F52" s="500" t="str">
        <f>IF(OR(E52&gt;=0.2,E52&lt;=-0.2),"超过20%","")</f>
        <v/>
      </c>
      <c r="G52" s="499">
        <f>IF(G47&lt;I47,I47/G47-1,G47/I47-1)</f>
        <v>7.4678111587982876E-2</v>
      </c>
      <c r="H52" s="500" t="str">
        <f>IF(OR(G52&gt;=0.2,G52&lt;=-0.2),"超过20%","")</f>
        <v/>
      </c>
      <c r="I52" s="499">
        <f>IF(I47&lt;E47,E47/I47-1,I47/E47-1)</f>
        <v>0.20600858369098707</v>
      </c>
      <c r="J52" s="500" t="str">
        <f>IF(OR(I52&gt;=0.2,I52&lt;=-0.2),"超过20%","")</f>
        <v>超过20%</v>
      </c>
      <c r="K52" s="1108"/>
      <c r="L52" s="1109"/>
      <c r="M52" s="1147"/>
      <c r="N52" s="1147"/>
      <c r="O52" s="1147"/>
    </row>
    <row r="53" spans="1:15" s="502" customFormat="1" ht="13.5" customHeight="1">
      <c r="A53" s="1148"/>
      <c r="B53" s="1148"/>
      <c r="C53" s="497" t="s">
        <v>2674</v>
      </c>
      <c r="D53" s="501"/>
      <c r="E53" s="499">
        <f>IF(E46&lt;G46,G46/E46-1,E46/G46-1)</f>
        <v>0.10083333333333333</v>
      </c>
      <c r="F53" s="500" t="str">
        <f>IF(OR(E53&gt;=0.3,E53&lt;=-0.3),"超过30%","")</f>
        <v/>
      </c>
      <c r="G53" s="499">
        <f>IF(G46&lt;I46,I46/G46-1,G46/I46-1)</f>
        <v>0.1417697431018079</v>
      </c>
      <c r="H53" s="500" t="str">
        <f>IF(OR(G53&gt;=0.3,G53&lt;=-0.3),"超过30%","")</f>
        <v/>
      </c>
      <c r="I53" s="499">
        <f>IF(I46&lt;E46,E46/I46-1,I46/E46-1)</f>
        <v>0.25689819219790677</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1" t="s">
        <v>3255</v>
      </c>
      <c r="D55" s="2712" t="s">
        <v>2761</v>
      </c>
      <c r="E55" s="686" t="s">
        <v>2762</v>
      </c>
      <c r="F55" s="1110" t="s">
        <v>2763</v>
      </c>
      <c r="G55" s="3167" t="s">
        <v>2764</v>
      </c>
      <c r="H55" s="3189"/>
      <c r="I55" s="144" t="s">
        <v>2765</v>
      </c>
      <c r="J55" s="2713">
        <f>项目基本情况!F35</f>
        <v>0</v>
      </c>
      <c r="K55" s="2714" t="s">
        <v>2766</v>
      </c>
      <c r="L55" s="1109"/>
      <c r="M55" s="1147"/>
      <c r="N55" s="1147"/>
      <c r="O55" s="1147"/>
    </row>
    <row r="56" spans="1:15" s="692" customFormat="1">
      <c r="A56" s="688" t="s">
        <v>2767</v>
      </c>
      <c r="B56" s="689">
        <f>C48</f>
        <v>1274</v>
      </c>
      <c r="C56" s="690">
        <v>1</v>
      </c>
      <c r="D56" s="1166">
        <v>1</v>
      </c>
      <c r="E56" s="690">
        <f>'数据-汇总表'!E8+'数据-汇总表'!E9</f>
        <v>16440.41</v>
      </c>
      <c r="F56" s="1106">
        <f t="shared" ref="F56:F65" si="15">ROUND(B56*E56/10000,0)</f>
        <v>2095</v>
      </c>
      <c r="G56" s="3190"/>
      <c r="H56" s="3166"/>
      <c r="I56" s="1111">
        <v>1</v>
      </c>
      <c r="J56" s="1114">
        <v>1</v>
      </c>
      <c r="K56" s="1148"/>
      <c r="L56" s="944"/>
      <c r="M56" s="944"/>
      <c r="N56" s="944"/>
      <c r="O56" s="944"/>
    </row>
    <row r="57" spans="1:15" s="692" customFormat="1">
      <c r="A57" s="693" t="s">
        <v>2768</v>
      </c>
      <c r="B57" s="262">
        <f>ROUND($C$48*C57*D57,0)</f>
        <v>0</v>
      </c>
      <c r="C57" s="200">
        <f t="shared" ref="C57:C65" si="16">IF($C$55="北京市系数",I57,J57)</f>
        <v>0</v>
      </c>
      <c r="D57" s="1167">
        <v>0.25</v>
      </c>
      <c r="E57" s="694"/>
      <c r="F57" s="1106">
        <f t="shared" si="15"/>
        <v>0</v>
      </c>
      <c r="G57" s="3191" t="s">
        <v>2769</v>
      </c>
      <c r="H57" s="1107">
        <f>项目基本情况!B37</f>
        <v>0</v>
      </c>
      <c r="I57" s="1111">
        <f>SUMIF(修正!A45:A56,H57,修正!B45:B56)</f>
        <v>0</v>
      </c>
      <c r="J57" s="1115"/>
      <c r="K57" s="1147"/>
      <c r="L57" s="944"/>
      <c r="M57" s="944"/>
      <c r="N57" s="944"/>
      <c r="O57" s="944"/>
    </row>
    <row r="58" spans="1:15" s="692" customFormat="1">
      <c r="A58" s="693" t="s">
        <v>2770</v>
      </c>
      <c r="B58" s="262">
        <f t="shared" ref="B58:B65" si="17">ROUND($C$48*C58*D58,0)</f>
        <v>0</v>
      </c>
      <c r="C58" s="200">
        <f t="shared" si="16"/>
        <v>0</v>
      </c>
      <c r="D58" s="1167">
        <v>0.25</v>
      </c>
      <c r="E58" s="694"/>
      <c r="F58" s="1106">
        <f t="shared" si="15"/>
        <v>0</v>
      </c>
      <c r="G58" s="3191"/>
      <c r="H58" s="1107">
        <f>项目基本情况!B37</f>
        <v>0</v>
      </c>
      <c r="I58" s="1111">
        <f>SUMIF(修正!A45:A56,H58,修正!C45:C56)</f>
        <v>0</v>
      </c>
      <c r="J58" s="1115"/>
      <c r="K58" s="1148"/>
      <c r="L58" s="944"/>
      <c r="M58" s="944"/>
      <c r="N58" s="944"/>
      <c r="O58" s="944"/>
    </row>
    <row r="59" spans="1:15" s="692" customFormat="1">
      <c r="A59" s="693" t="s">
        <v>2771</v>
      </c>
      <c r="B59" s="262">
        <f t="shared" si="17"/>
        <v>0</v>
      </c>
      <c r="C59" s="200">
        <f t="shared" si="16"/>
        <v>0</v>
      </c>
      <c r="D59" s="1167">
        <v>0.25</v>
      </c>
      <c r="E59" s="694"/>
      <c r="F59" s="1106">
        <f t="shared" si="15"/>
        <v>0</v>
      </c>
      <c r="G59" s="3191"/>
      <c r="H59" s="1107">
        <f>项目基本情况!B37</f>
        <v>0</v>
      </c>
      <c r="I59" s="1111">
        <f>SUMIF(修正!A45:A56,H59,修正!D45:D56)</f>
        <v>0</v>
      </c>
      <c r="J59" s="1115"/>
      <c r="K59" s="1147"/>
      <c r="L59" s="944"/>
      <c r="M59" s="944"/>
      <c r="N59" s="944"/>
      <c r="O59" s="944"/>
    </row>
    <row r="60" spans="1:15" s="692" customFormat="1">
      <c r="A60" s="693" t="s">
        <v>2772</v>
      </c>
      <c r="B60" s="262">
        <f t="shared" si="17"/>
        <v>0</v>
      </c>
      <c r="C60" s="200">
        <f t="shared" si="16"/>
        <v>0</v>
      </c>
      <c r="D60" s="1167">
        <v>0.25</v>
      </c>
      <c r="E60" s="694"/>
      <c r="F60" s="1106">
        <f t="shared" si="15"/>
        <v>0</v>
      </c>
      <c r="G60" s="3191"/>
      <c r="H60" s="1107">
        <f>项目基本情况!B37</f>
        <v>0</v>
      </c>
      <c r="I60" s="1111">
        <f>SUMIF(修正!A45:A56,H60,修正!E45:E56)</f>
        <v>0</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15"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0</v>
      </c>
      <c r="C64" s="200">
        <f t="shared" si="16"/>
        <v>0</v>
      </c>
      <c r="D64" s="1167">
        <v>0.25</v>
      </c>
      <c r="E64" s="261">
        <f>'数据-汇总表'!E14</f>
        <v>0</v>
      </c>
      <c r="F64" s="1106">
        <f t="shared" si="15"/>
        <v>0</v>
      </c>
      <c r="G64" s="2715" t="s">
        <v>2769</v>
      </c>
      <c r="H64" s="1107">
        <f>项目基本情况!B37</f>
        <v>0</v>
      </c>
      <c r="I64" s="1111">
        <f>SUMIF(修正!A45:A56,H64,修正!H45:H56)</f>
        <v>0</v>
      </c>
      <c r="J64" s="1115"/>
      <c r="K64" s="1148"/>
      <c r="L64" s="944"/>
      <c r="M64" s="944"/>
      <c r="N64" s="944"/>
      <c r="O64" s="944"/>
    </row>
    <row r="65" spans="1:17" s="692" customFormat="1" ht="15" thickBot="1">
      <c r="A65" s="693" t="s">
        <v>2780</v>
      </c>
      <c r="B65" s="262">
        <f t="shared" si="17"/>
        <v>0</v>
      </c>
      <c r="C65" s="200">
        <f t="shared" si="16"/>
        <v>0</v>
      </c>
      <c r="D65" s="1167">
        <v>0.25</v>
      </c>
      <c r="E65" s="261">
        <f>'数据-汇总表'!E15</f>
        <v>0</v>
      </c>
      <c r="F65" s="1106">
        <f t="shared" si="15"/>
        <v>0</v>
      </c>
      <c r="G65" s="2716"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1029</v>
      </c>
      <c r="E66" s="696">
        <f>IF(B46="楼面地价",SUM(E56:E65),'数据-汇总表'!D3)</f>
        <v>24812</v>
      </c>
      <c r="F66" s="697">
        <f>IF(B46="楼面地价",SUM(F56:F65),ROUND(C48*E66/10000,0))</f>
        <v>3161</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7" t="s">
        <v>2782</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8" t="s">
        <v>2783</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2954" t="s">
        <v>3236</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0.5（含）-0.7</v>
      </c>
      <c r="D79" s="547" t="str">
        <f t="shared" ref="D79:L79" si="20">D80&amp;"（含）"&amp;"-"&amp;E80</f>
        <v>0.7（含）-0.9</v>
      </c>
      <c r="E79" s="547" t="str">
        <f t="shared" si="20"/>
        <v>0.9（含）-1.1</v>
      </c>
      <c r="F79" s="547" t="str">
        <f t="shared" si="20"/>
        <v>1.1（含）-1.3</v>
      </c>
      <c r="G79" s="547" t="str">
        <f t="shared" si="20"/>
        <v>1.3（含）-1.5</v>
      </c>
      <c r="H79" s="547" t="str">
        <f t="shared" si="20"/>
        <v>1.5（含）-1.7</v>
      </c>
      <c r="I79" s="547" t="str">
        <f t="shared" si="20"/>
        <v>1.7（含）-1.9</v>
      </c>
      <c r="J79" s="547" t="str">
        <f t="shared" si="20"/>
        <v>1.9（含）-2.1</v>
      </c>
      <c r="K79" s="547" t="str">
        <f t="shared" si="20"/>
        <v>2.1（含）-2.3</v>
      </c>
      <c r="L79" s="547" t="str">
        <f t="shared" si="20"/>
        <v>2.3（含）-2.5</v>
      </c>
      <c r="M79" s="448" t="str">
        <f>M80&amp;"（含）"&amp;"-"&amp;P80</f>
        <v>2.5（含）-</v>
      </c>
      <c r="N79" s="1156"/>
      <c r="O79" s="1156"/>
      <c r="P79" s="45"/>
      <c r="Q79" s="504"/>
    </row>
    <row r="80" spans="1:17" ht="15">
      <c r="A80" s="534"/>
      <c r="B80" s="548"/>
      <c r="C80" s="549">
        <v>0.5</v>
      </c>
      <c r="D80" s="549">
        <v>0.7</v>
      </c>
      <c r="E80" s="549">
        <v>0.9</v>
      </c>
      <c r="F80" s="549">
        <v>1.1000000000000001</v>
      </c>
      <c r="G80" s="549">
        <v>1.3</v>
      </c>
      <c r="H80" s="549">
        <v>1.5</v>
      </c>
      <c r="I80" s="549">
        <v>1.7</v>
      </c>
      <c r="J80" s="549">
        <v>1.9</v>
      </c>
      <c r="K80" s="549">
        <v>2.1</v>
      </c>
      <c r="L80" s="549">
        <v>2.2999999999999998</v>
      </c>
      <c r="M80" s="549">
        <v>2.5</v>
      </c>
      <c r="N80" s="1155"/>
      <c r="O80" s="1155"/>
      <c r="P80" s="45"/>
      <c r="Q80" s="504"/>
    </row>
    <row r="81" spans="1:17" ht="15.75" thickBot="1">
      <c r="A81" s="534"/>
      <c r="B81" s="535"/>
      <c r="C81" s="544">
        <v>100</v>
      </c>
      <c r="D81" s="544">
        <f t="shared" ref="D81:M81" si="21">IF($B$46="单位面积地价",C81+$K11,C81-$K11)</f>
        <v>101</v>
      </c>
      <c r="E81" s="544">
        <f t="shared" si="21"/>
        <v>102</v>
      </c>
      <c r="F81" s="544">
        <f t="shared" si="21"/>
        <v>103</v>
      </c>
      <c r="G81" s="544">
        <f t="shared" si="21"/>
        <v>104</v>
      </c>
      <c r="H81" s="544">
        <f t="shared" si="21"/>
        <v>105</v>
      </c>
      <c r="I81" s="544">
        <f t="shared" si="21"/>
        <v>106</v>
      </c>
      <c r="J81" s="544">
        <f t="shared" si="21"/>
        <v>107</v>
      </c>
      <c r="K81" s="544">
        <f t="shared" si="21"/>
        <v>108</v>
      </c>
      <c r="L81" s="544">
        <f t="shared" si="21"/>
        <v>109</v>
      </c>
      <c r="M81" s="544">
        <f t="shared" si="21"/>
        <v>110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2784</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2785</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6"/>
      <c r="O97" s="1156"/>
      <c r="P97" s="45"/>
      <c r="Q97" s="504"/>
    </row>
    <row r="98" spans="1:17" s="117" customFormat="1" ht="27.75" thickTop="1">
      <c r="A98" s="579"/>
      <c r="B98" s="538" t="s">
        <v>2786</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2959" t="s">
        <v>3262</v>
      </c>
      <c r="D106" s="2959" t="s">
        <v>3263</v>
      </c>
      <c r="E106" s="2959" t="s">
        <v>3264</v>
      </c>
      <c r="F106" s="554"/>
      <c r="G106" s="554"/>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2564</v>
      </c>
      <c r="B116" s="528" t="s">
        <v>2791</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80000(含)-100000</v>
      </c>
      <c r="H116" s="529" t="str">
        <f t="shared" si="25"/>
        <v>100000(含)-120000</v>
      </c>
      <c r="I116" s="529" t="str">
        <f t="shared" si="25"/>
        <v>120000(含)-140000</v>
      </c>
      <c r="J116" s="529" t="str">
        <f t="shared" si="25"/>
        <v>140000(含)-160000</v>
      </c>
      <c r="K116" s="529" t="str">
        <f t="shared" si="25"/>
        <v>160000(含)-</v>
      </c>
      <c r="L116" s="529" t="str">
        <f t="shared" si="25"/>
        <v>(含)-</v>
      </c>
      <c r="M116" s="529" t="str">
        <f t="shared" si="25"/>
        <v>(含)-</v>
      </c>
      <c r="N116" s="1155"/>
      <c r="O116" s="1155"/>
      <c r="P116" s="45"/>
      <c r="Q116" s="504"/>
    </row>
    <row r="117" spans="1:17" ht="15">
      <c r="A117" s="534"/>
      <c r="B117" s="546"/>
      <c r="C117" s="595">
        <v>0</v>
      </c>
      <c r="D117" s="595">
        <v>20000</v>
      </c>
      <c r="E117" s="595">
        <v>40000</v>
      </c>
      <c r="F117" s="595">
        <v>60000</v>
      </c>
      <c r="G117" s="595">
        <v>80000</v>
      </c>
      <c r="H117" s="595">
        <v>100000</v>
      </c>
      <c r="I117" s="595">
        <v>120000</v>
      </c>
      <c r="J117" s="595">
        <v>140000</v>
      </c>
      <c r="K117" s="595">
        <v>160000</v>
      </c>
      <c r="L117" s="597"/>
      <c r="M117" s="598"/>
      <c r="N117" s="1155"/>
      <c r="O117" s="1155"/>
      <c r="P117" s="45"/>
      <c r="Q117" s="504"/>
    </row>
    <row r="118" spans="1:17" ht="15.75" thickBot="1">
      <c r="A118" s="534"/>
      <c r="B118" s="543"/>
      <c r="C118" s="570">
        <v>100</v>
      </c>
      <c r="D118" s="591">
        <v>99</v>
      </c>
      <c r="E118" s="570">
        <v>98</v>
      </c>
      <c r="F118" s="591">
        <v>97</v>
      </c>
      <c r="G118" s="570">
        <v>96</v>
      </c>
      <c r="H118" s="591">
        <v>95</v>
      </c>
      <c r="I118" s="570">
        <v>94</v>
      </c>
      <c r="J118" s="591">
        <v>93</v>
      </c>
      <c r="K118" s="570">
        <v>92</v>
      </c>
      <c r="L118" s="591"/>
      <c r="M118" s="592"/>
      <c r="N118" s="1156"/>
      <c r="O118" s="1156"/>
      <c r="P118" s="45"/>
      <c r="Q118" s="504"/>
    </row>
    <row r="119" spans="1:17" ht="15" thickTop="1">
      <c r="A119" s="599"/>
      <c r="B119" s="538" t="s">
        <v>2792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2959" t="s">
        <v>3269</v>
      </c>
      <c r="D123" s="554"/>
      <c r="E123" s="2959" t="s">
        <v>3271</v>
      </c>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t="str">
        <f>B43</f>
        <v>建筑物转让受限</v>
      </c>
      <c r="C127" s="2957" t="s">
        <v>3258</v>
      </c>
      <c r="D127" s="2957" t="s">
        <v>3259</v>
      </c>
      <c r="E127" s="554"/>
      <c r="F127" s="554"/>
      <c r="G127" s="554"/>
      <c r="H127" s="583"/>
      <c r="I127" s="583"/>
      <c r="J127" s="583"/>
      <c r="K127" s="584"/>
      <c r="L127" s="585"/>
      <c r="M127" s="586"/>
      <c r="N127" s="1155"/>
      <c r="O127" s="1155"/>
      <c r="P127" s="45"/>
      <c r="Q127" s="504"/>
    </row>
    <row r="128" spans="1:17" ht="15.75" thickBot="1">
      <c r="A128" s="534"/>
      <c r="B128" s="543"/>
      <c r="C128" s="560">
        <v>100</v>
      </c>
      <c r="D128" s="560">
        <v>98</v>
      </c>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dimension ref="A1:P57"/>
  <sheetViews>
    <sheetView topLeftCell="F1" workbookViewId="0">
      <selection activeCell="A14" sqref="A14:XFD14"/>
    </sheetView>
  </sheetViews>
  <sheetFormatPr defaultRowHeight="13.5"/>
  <cols>
    <col min="1" max="1" width="36" style="1637" customWidth="1"/>
    <col min="2" max="2" width="6.25" style="1637" customWidth="1"/>
    <col min="3" max="3" width="11.75" style="1637" customWidth="1"/>
    <col min="4" max="4" width="6.25" style="1637" customWidth="1"/>
    <col min="5" max="5" width="36" style="1637" customWidth="1"/>
    <col min="6" max="6" width="7.875" style="1637" customWidth="1"/>
    <col min="7" max="8" width="13.875" style="1637" customWidth="1"/>
    <col min="9" max="9" width="24.125" style="1637" customWidth="1"/>
    <col min="10" max="10" width="9" style="1637" customWidth="1"/>
    <col min="11" max="11" width="36" style="1637" customWidth="1"/>
    <col min="12" max="12" width="10.625" style="1637" customWidth="1"/>
    <col min="13" max="14" width="14.375" style="1637" customWidth="1"/>
    <col min="15" max="15" width="6.25" style="1637" customWidth="1"/>
    <col min="16" max="16" width="7.875" style="1637" customWidth="1"/>
    <col min="17" max="256" width="9" style="1637"/>
    <col min="257" max="257" width="36" style="1637" customWidth="1"/>
    <col min="258" max="258" width="6.25" style="1637" customWidth="1"/>
    <col min="259" max="259" width="11.75" style="1637" customWidth="1"/>
    <col min="260" max="260" width="6.25" style="1637" customWidth="1"/>
    <col min="261" max="261" width="36" style="1637" customWidth="1"/>
    <col min="262" max="262" width="7.875" style="1637" customWidth="1"/>
    <col min="263" max="264" width="13.875" style="1637" customWidth="1"/>
    <col min="265" max="265" width="19.125" style="1637" customWidth="1"/>
    <col min="266" max="266" width="9" style="1637" customWidth="1"/>
    <col min="267" max="267" width="36" style="1637" customWidth="1"/>
    <col min="268" max="268" width="10.625" style="1637" customWidth="1"/>
    <col min="269" max="270" width="14.375" style="1637" customWidth="1"/>
    <col min="271" max="271" width="6.25" style="1637" customWidth="1"/>
    <col min="272" max="272" width="7.875" style="1637" customWidth="1"/>
    <col min="273" max="512" width="9" style="1637"/>
    <col min="513" max="513" width="36" style="1637" customWidth="1"/>
    <col min="514" max="514" width="6.25" style="1637" customWidth="1"/>
    <col min="515" max="515" width="11.75" style="1637" customWidth="1"/>
    <col min="516" max="516" width="6.25" style="1637" customWidth="1"/>
    <col min="517" max="517" width="36" style="1637" customWidth="1"/>
    <col min="518" max="518" width="7.875" style="1637" customWidth="1"/>
    <col min="519" max="520" width="13.875" style="1637" customWidth="1"/>
    <col min="521" max="521" width="19.125" style="1637" customWidth="1"/>
    <col min="522" max="522" width="9" style="1637" customWidth="1"/>
    <col min="523" max="523" width="36" style="1637" customWidth="1"/>
    <col min="524" max="524" width="10.625" style="1637" customWidth="1"/>
    <col min="525" max="526" width="14.375" style="1637" customWidth="1"/>
    <col min="527" max="527" width="6.25" style="1637" customWidth="1"/>
    <col min="528" max="528" width="7.875" style="1637" customWidth="1"/>
    <col min="529" max="768" width="9" style="1637"/>
    <col min="769" max="769" width="36" style="1637" customWidth="1"/>
    <col min="770" max="770" width="6.25" style="1637" customWidth="1"/>
    <col min="771" max="771" width="11.75" style="1637" customWidth="1"/>
    <col min="772" max="772" width="6.25" style="1637" customWidth="1"/>
    <col min="773" max="773" width="36" style="1637" customWidth="1"/>
    <col min="774" max="774" width="7.875" style="1637" customWidth="1"/>
    <col min="775" max="776" width="13.875" style="1637" customWidth="1"/>
    <col min="777" max="777" width="19.125" style="1637" customWidth="1"/>
    <col min="778" max="778" width="9" style="1637" customWidth="1"/>
    <col min="779" max="779" width="36" style="1637" customWidth="1"/>
    <col min="780" max="780" width="10.625" style="1637" customWidth="1"/>
    <col min="781" max="782" width="14.375" style="1637" customWidth="1"/>
    <col min="783" max="783" width="6.25" style="1637" customWidth="1"/>
    <col min="784" max="784" width="7.875" style="1637" customWidth="1"/>
    <col min="785" max="1024" width="9" style="1637"/>
    <col min="1025" max="1025" width="36" style="1637" customWidth="1"/>
    <col min="1026" max="1026" width="6.25" style="1637" customWidth="1"/>
    <col min="1027" max="1027" width="11.75" style="1637" customWidth="1"/>
    <col min="1028" max="1028" width="6.25" style="1637" customWidth="1"/>
    <col min="1029" max="1029" width="36" style="1637" customWidth="1"/>
    <col min="1030" max="1030" width="7.875" style="1637" customWidth="1"/>
    <col min="1031" max="1032" width="13.875" style="1637" customWidth="1"/>
    <col min="1033" max="1033" width="19.125" style="1637" customWidth="1"/>
    <col min="1034" max="1034" width="9" style="1637" customWidth="1"/>
    <col min="1035" max="1035" width="36" style="1637" customWidth="1"/>
    <col min="1036" max="1036" width="10.625" style="1637" customWidth="1"/>
    <col min="1037" max="1038" width="14.375" style="1637" customWidth="1"/>
    <col min="1039" max="1039" width="6.25" style="1637" customWidth="1"/>
    <col min="1040" max="1040" width="7.875" style="1637" customWidth="1"/>
    <col min="1041" max="1280" width="9" style="1637"/>
    <col min="1281" max="1281" width="36" style="1637" customWidth="1"/>
    <col min="1282" max="1282" width="6.25" style="1637" customWidth="1"/>
    <col min="1283" max="1283" width="11.75" style="1637" customWidth="1"/>
    <col min="1284" max="1284" width="6.25" style="1637" customWidth="1"/>
    <col min="1285" max="1285" width="36" style="1637" customWidth="1"/>
    <col min="1286" max="1286" width="7.875" style="1637" customWidth="1"/>
    <col min="1287" max="1288" width="13.875" style="1637" customWidth="1"/>
    <col min="1289" max="1289" width="19.125" style="1637" customWidth="1"/>
    <col min="1290" max="1290" width="9" style="1637" customWidth="1"/>
    <col min="1291" max="1291" width="36" style="1637" customWidth="1"/>
    <col min="1292" max="1292" width="10.625" style="1637" customWidth="1"/>
    <col min="1293" max="1294" width="14.375" style="1637" customWidth="1"/>
    <col min="1295" max="1295" width="6.25" style="1637" customWidth="1"/>
    <col min="1296" max="1296" width="7.875" style="1637" customWidth="1"/>
    <col min="1297" max="1536" width="9" style="1637"/>
    <col min="1537" max="1537" width="36" style="1637" customWidth="1"/>
    <col min="1538" max="1538" width="6.25" style="1637" customWidth="1"/>
    <col min="1539" max="1539" width="11.75" style="1637" customWidth="1"/>
    <col min="1540" max="1540" width="6.25" style="1637" customWidth="1"/>
    <col min="1541" max="1541" width="36" style="1637" customWidth="1"/>
    <col min="1542" max="1542" width="7.875" style="1637" customWidth="1"/>
    <col min="1543" max="1544" width="13.875" style="1637" customWidth="1"/>
    <col min="1545" max="1545" width="19.125" style="1637" customWidth="1"/>
    <col min="1546" max="1546" width="9" style="1637" customWidth="1"/>
    <col min="1547" max="1547" width="36" style="1637" customWidth="1"/>
    <col min="1548" max="1548" width="10.625" style="1637" customWidth="1"/>
    <col min="1549" max="1550" width="14.375" style="1637" customWidth="1"/>
    <col min="1551" max="1551" width="6.25" style="1637" customWidth="1"/>
    <col min="1552" max="1552" width="7.875" style="1637" customWidth="1"/>
    <col min="1553" max="1792" width="9" style="1637"/>
    <col min="1793" max="1793" width="36" style="1637" customWidth="1"/>
    <col min="1794" max="1794" width="6.25" style="1637" customWidth="1"/>
    <col min="1795" max="1795" width="11.75" style="1637" customWidth="1"/>
    <col min="1796" max="1796" width="6.25" style="1637" customWidth="1"/>
    <col min="1797" max="1797" width="36" style="1637" customWidth="1"/>
    <col min="1798" max="1798" width="7.875" style="1637" customWidth="1"/>
    <col min="1799" max="1800" width="13.875" style="1637" customWidth="1"/>
    <col min="1801" max="1801" width="19.125" style="1637" customWidth="1"/>
    <col min="1802" max="1802" width="9" style="1637" customWidth="1"/>
    <col min="1803" max="1803" width="36" style="1637" customWidth="1"/>
    <col min="1804" max="1804" width="10.625" style="1637" customWidth="1"/>
    <col min="1805" max="1806" width="14.375" style="1637" customWidth="1"/>
    <col min="1807" max="1807" width="6.25" style="1637" customWidth="1"/>
    <col min="1808" max="1808" width="7.875" style="1637" customWidth="1"/>
    <col min="1809" max="2048" width="9" style="1637"/>
    <col min="2049" max="2049" width="36" style="1637" customWidth="1"/>
    <col min="2050" max="2050" width="6.25" style="1637" customWidth="1"/>
    <col min="2051" max="2051" width="11.75" style="1637" customWidth="1"/>
    <col min="2052" max="2052" width="6.25" style="1637" customWidth="1"/>
    <col min="2053" max="2053" width="36" style="1637" customWidth="1"/>
    <col min="2054" max="2054" width="7.875" style="1637" customWidth="1"/>
    <col min="2055" max="2056" width="13.875" style="1637" customWidth="1"/>
    <col min="2057" max="2057" width="19.125" style="1637" customWidth="1"/>
    <col min="2058" max="2058" width="9" style="1637" customWidth="1"/>
    <col min="2059" max="2059" width="36" style="1637" customWidth="1"/>
    <col min="2060" max="2060" width="10.625" style="1637" customWidth="1"/>
    <col min="2061" max="2062" width="14.375" style="1637" customWidth="1"/>
    <col min="2063" max="2063" width="6.25" style="1637" customWidth="1"/>
    <col min="2064" max="2064" width="7.875" style="1637" customWidth="1"/>
    <col min="2065" max="2304" width="9" style="1637"/>
    <col min="2305" max="2305" width="36" style="1637" customWidth="1"/>
    <col min="2306" max="2306" width="6.25" style="1637" customWidth="1"/>
    <col min="2307" max="2307" width="11.75" style="1637" customWidth="1"/>
    <col min="2308" max="2308" width="6.25" style="1637" customWidth="1"/>
    <col min="2309" max="2309" width="36" style="1637" customWidth="1"/>
    <col min="2310" max="2310" width="7.875" style="1637" customWidth="1"/>
    <col min="2311" max="2312" width="13.875" style="1637" customWidth="1"/>
    <col min="2313" max="2313" width="19.125" style="1637" customWidth="1"/>
    <col min="2314" max="2314" width="9" style="1637" customWidth="1"/>
    <col min="2315" max="2315" width="36" style="1637" customWidth="1"/>
    <col min="2316" max="2316" width="10.625" style="1637" customWidth="1"/>
    <col min="2317" max="2318" width="14.375" style="1637" customWidth="1"/>
    <col min="2319" max="2319" width="6.25" style="1637" customWidth="1"/>
    <col min="2320" max="2320" width="7.875" style="1637" customWidth="1"/>
    <col min="2321" max="2560" width="9" style="1637"/>
    <col min="2561" max="2561" width="36" style="1637" customWidth="1"/>
    <col min="2562" max="2562" width="6.25" style="1637" customWidth="1"/>
    <col min="2563" max="2563" width="11.75" style="1637" customWidth="1"/>
    <col min="2564" max="2564" width="6.25" style="1637" customWidth="1"/>
    <col min="2565" max="2565" width="36" style="1637" customWidth="1"/>
    <col min="2566" max="2566" width="7.875" style="1637" customWidth="1"/>
    <col min="2567" max="2568" width="13.875" style="1637" customWidth="1"/>
    <col min="2569" max="2569" width="19.125" style="1637" customWidth="1"/>
    <col min="2570" max="2570" width="9" style="1637" customWidth="1"/>
    <col min="2571" max="2571" width="36" style="1637" customWidth="1"/>
    <col min="2572" max="2572" width="10.625" style="1637" customWidth="1"/>
    <col min="2573" max="2574" width="14.375" style="1637" customWidth="1"/>
    <col min="2575" max="2575" width="6.25" style="1637" customWidth="1"/>
    <col min="2576" max="2576" width="7.875" style="1637" customWidth="1"/>
    <col min="2577" max="2816" width="9" style="1637"/>
    <col min="2817" max="2817" width="36" style="1637" customWidth="1"/>
    <col min="2818" max="2818" width="6.25" style="1637" customWidth="1"/>
    <col min="2819" max="2819" width="11.75" style="1637" customWidth="1"/>
    <col min="2820" max="2820" width="6.25" style="1637" customWidth="1"/>
    <col min="2821" max="2821" width="36" style="1637" customWidth="1"/>
    <col min="2822" max="2822" width="7.875" style="1637" customWidth="1"/>
    <col min="2823" max="2824" width="13.875" style="1637" customWidth="1"/>
    <col min="2825" max="2825" width="19.125" style="1637" customWidth="1"/>
    <col min="2826" max="2826" width="9" style="1637" customWidth="1"/>
    <col min="2827" max="2827" width="36" style="1637" customWidth="1"/>
    <col min="2828" max="2828" width="10.625" style="1637" customWidth="1"/>
    <col min="2829" max="2830" width="14.375" style="1637" customWidth="1"/>
    <col min="2831" max="2831" width="6.25" style="1637" customWidth="1"/>
    <col min="2832" max="2832" width="7.875" style="1637" customWidth="1"/>
    <col min="2833" max="3072" width="9" style="1637"/>
    <col min="3073" max="3073" width="36" style="1637" customWidth="1"/>
    <col min="3074" max="3074" width="6.25" style="1637" customWidth="1"/>
    <col min="3075" max="3075" width="11.75" style="1637" customWidth="1"/>
    <col min="3076" max="3076" width="6.25" style="1637" customWidth="1"/>
    <col min="3077" max="3077" width="36" style="1637" customWidth="1"/>
    <col min="3078" max="3078" width="7.875" style="1637" customWidth="1"/>
    <col min="3079" max="3080" width="13.875" style="1637" customWidth="1"/>
    <col min="3081" max="3081" width="19.125" style="1637" customWidth="1"/>
    <col min="3082" max="3082" width="9" style="1637" customWidth="1"/>
    <col min="3083" max="3083" width="36" style="1637" customWidth="1"/>
    <col min="3084" max="3084" width="10.625" style="1637" customWidth="1"/>
    <col min="3085" max="3086" width="14.375" style="1637" customWidth="1"/>
    <col min="3087" max="3087" width="6.25" style="1637" customWidth="1"/>
    <col min="3088" max="3088" width="7.875" style="1637" customWidth="1"/>
    <col min="3089" max="3328" width="9" style="1637"/>
    <col min="3329" max="3329" width="36" style="1637" customWidth="1"/>
    <col min="3330" max="3330" width="6.25" style="1637" customWidth="1"/>
    <col min="3331" max="3331" width="11.75" style="1637" customWidth="1"/>
    <col min="3332" max="3332" width="6.25" style="1637" customWidth="1"/>
    <col min="3333" max="3333" width="36" style="1637" customWidth="1"/>
    <col min="3334" max="3334" width="7.875" style="1637" customWidth="1"/>
    <col min="3335" max="3336" width="13.875" style="1637" customWidth="1"/>
    <col min="3337" max="3337" width="19.125" style="1637" customWidth="1"/>
    <col min="3338" max="3338" width="9" style="1637" customWidth="1"/>
    <col min="3339" max="3339" width="36" style="1637" customWidth="1"/>
    <col min="3340" max="3340" width="10.625" style="1637" customWidth="1"/>
    <col min="3341" max="3342" width="14.375" style="1637" customWidth="1"/>
    <col min="3343" max="3343" width="6.25" style="1637" customWidth="1"/>
    <col min="3344" max="3344" width="7.875" style="1637" customWidth="1"/>
    <col min="3345" max="3584" width="9" style="1637"/>
    <col min="3585" max="3585" width="36" style="1637" customWidth="1"/>
    <col min="3586" max="3586" width="6.25" style="1637" customWidth="1"/>
    <col min="3587" max="3587" width="11.75" style="1637" customWidth="1"/>
    <col min="3588" max="3588" width="6.25" style="1637" customWidth="1"/>
    <col min="3589" max="3589" width="36" style="1637" customWidth="1"/>
    <col min="3590" max="3590" width="7.875" style="1637" customWidth="1"/>
    <col min="3591" max="3592" width="13.875" style="1637" customWidth="1"/>
    <col min="3593" max="3593" width="19.125" style="1637" customWidth="1"/>
    <col min="3594" max="3594" width="9" style="1637" customWidth="1"/>
    <col min="3595" max="3595" width="36" style="1637" customWidth="1"/>
    <col min="3596" max="3596" width="10.625" style="1637" customWidth="1"/>
    <col min="3597" max="3598" width="14.375" style="1637" customWidth="1"/>
    <col min="3599" max="3599" width="6.25" style="1637" customWidth="1"/>
    <col min="3600" max="3600" width="7.875" style="1637" customWidth="1"/>
    <col min="3601" max="3840" width="9" style="1637"/>
    <col min="3841" max="3841" width="36" style="1637" customWidth="1"/>
    <col min="3842" max="3842" width="6.25" style="1637" customWidth="1"/>
    <col min="3843" max="3843" width="11.75" style="1637" customWidth="1"/>
    <col min="3844" max="3844" width="6.25" style="1637" customWidth="1"/>
    <col min="3845" max="3845" width="36" style="1637" customWidth="1"/>
    <col min="3846" max="3846" width="7.875" style="1637" customWidth="1"/>
    <col min="3847" max="3848" width="13.875" style="1637" customWidth="1"/>
    <col min="3849" max="3849" width="19.125" style="1637" customWidth="1"/>
    <col min="3850" max="3850" width="9" style="1637" customWidth="1"/>
    <col min="3851" max="3851" width="36" style="1637" customWidth="1"/>
    <col min="3852" max="3852" width="10.625" style="1637" customWidth="1"/>
    <col min="3853" max="3854" width="14.375" style="1637" customWidth="1"/>
    <col min="3855" max="3855" width="6.25" style="1637" customWidth="1"/>
    <col min="3856" max="3856" width="7.875" style="1637" customWidth="1"/>
    <col min="3857" max="4096" width="9" style="1637"/>
    <col min="4097" max="4097" width="36" style="1637" customWidth="1"/>
    <col min="4098" max="4098" width="6.25" style="1637" customWidth="1"/>
    <col min="4099" max="4099" width="11.75" style="1637" customWidth="1"/>
    <col min="4100" max="4100" width="6.25" style="1637" customWidth="1"/>
    <col min="4101" max="4101" width="36" style="1637" customWidth="1"/>
    <col min="4102" max="4102" width="7.875" style="1637" customWidth="1"/>
    <col min="4103" max="4104" width="13.875" style="1637" customWidth="1"/>
    <col min="4105" max="4105" width="19.125" style="1637" customWidth="1"/>
    <col min="4106" max="4106" width="9" style="1637" customWidth="1"/>
    <col min="4107" max="4107" width="36" style="1637" customWidth="1"/>
    <col min="4108" max="4108" width="10.625" style="1637" customWidth="1"/>
    <col min="4109" max="4110" width="14.375" style="1637" customWidth="1"/>
    <col min="4111" max="4111" width="6.25" style="1637" customWidth="1"/>
    <col min="4112" max="4112" width="7.875" style="1637" customWidth="1"/>
    <col min="4113" max="4352" width="9" style="1637"/>
    <col min="4353" max="4353" width="36" style="1637" customWidth="1"/>
    <col min="4354" max="4354" width="6.25" style="1637" customWidth="1"/>
    <col min="4355" max="4355" width="11.75" style="1637" customWidth="1"/>
    <col min="4356" max="4356" width="6.25" style="1637" customWidth="1"/>
    <col min="4357" max="4357" width="36" style="1637" customWidth="1"/>
    <col min="4358" max="4358" width="7.875" style="1637" customWidth="1"/>
    <col min="4359" max="4360" width="13.875" style="1637" customWidth="1"/>
    <col min="4361" max="4361" width="19.125" style="1637" customWidth="1"/>
    <col min="4362" max="4362" width="9" style="1637" customWidth="1"/>
    <col min="4363" max="4363" width="36" style="1637" customWidth="1"/>
    <col min="4364" max="4364" width="10.625" style="1637" customWidth="1"/>
    <col min="4365" max="4366" width="14.375" style="1637" customWidth="1"/>
    <col min="4367" max="4367" width="6.25" style="1637" customWidth="1"/>
    <col min="4368" max="4368" width="7.875" style="1637" customWidth="1"/>
    <col min="4369" max="4608" width="9" style="1637"/>
    <col min="4609" max="4609" width="36" style="1637" customWidth="1"/>
    <col min="4610" max="4610" width="6.25" style="1637" customWidth="1"/>
    <col min="4611" max="4611" width="11.75" style="1637" customWidth="1"/>
    <col min="4612" max="4612" width="6.25" style="1637" customWidth="1"/>
    <col min="4613" max="4613" width="36" style="1637" customWidth="1"/>
    <col min="4614" max="4614" width="7.875" style="1637" customWidth="1"/>
    <col min="4615" max="4616" width="13.875" style="1637" customWidth="1"/>
    <col min="4617" max="4617" width="19.125" style="1637" customWidth="1"/>
    <col min="4618" max="4618" width="9" style="1637" customWidth="1"/>
    <col min="4619" max="4619" width="36" style="1637" customWidth="1"/>
    <col min="4620" max="4620" width="10.625" style="1637" customWidth="1"/>
    <col min="4621" max="4622" width="14.375" style="1637" customWidth="1"/>
    <col min="4623" max="4623" width="6.25" style="1637" customWidth="1"/>
    <col min="4624" max="4624" width="7.875" style="1637" customWidth="1"/>
    <col min="4625" max="4864" width="9" style="1637"/>
    <col min="4865" max="4865" width="36" style="1637" customWidth="1"/>
    <col min="4866" max="4866" width="6.25" style="1637" customWidth="1"/>
    <col min="4867" max="4867" width="11.75" style="1637" customWidth="1"/>
    <col min="4868" max="4868" width="6.25" style="1637" customWidth="1"/>
    <col min="4869" max="4869" width="36" style="1637" customWidth="1"/>
    <col min="4870" max="4870" width="7.875" style="1637" customWidth="1"/>
    <col min="4871" max="4872" width="13.875" style="1637" customWidth="1"/>
    <col min="4873" max="4873" width="19.125" style="1637" customWidth="1"/>
    <col min="4874" max="4874" width="9" style="1637" customWidth="1"/>
    <col min="4875" max="4875" width="36" style="1637" customWidth="1"/>
    <col min="4876" max="4876" width="10.625" style="1637" customWidth="1"/>
    <col min="4877" max="4878" width="14.375" style="1637" customWidth="1"/>
    <col min="4879" max="4879" width="6.25" style="1637" customWidth="1"/>
    <col min="4880" max="4880" width="7.875" style="1637" customWidth="1"/>
    <col min="4881" max="5120" width="9" style="1637"/>
    <col min="5121" max="5121" width="36" style="1637" customWidth="1"/>
    <col min="5122" max="5122" width="6.25" style="1637" customWidth="1"/>
    <col min="5123" max="5123" width="11.75" style="1637" customWidth="1"/>
    <col min="5124" max="5124" width="6.25" style="1637" customWidth="1"/>
    <col min="5125" max="5125" width="36" style="1637" customWidth="1"/>
    <col min="5126" max="5126" width="7.875" style="1637" customWidth="1"/>
    <col min="5127" max="5128" width="13.875" style="1637" customWidth="1"/>
    <col min="5129" max="5129" width="19.125" style="1637" customWidth="1"/>
    <col min="5130" max="5130" width="9" style="1637" customWidth="1"/>
    <col min="5131" max="5131" width="36" style="1637" customWidth="1"/>
    <col min="5132" max="5132" width="10.625" style="1637" customWidth="1"/>
    <col min="5133" max="5134" width="14.375" style="1637" customWidth="1"/>
    <col min="5135" max="5135" width="6.25" style="1637" customWidth="1"/>
    <col min="5136" max="5136" width="7.875" style="1637" customWidth="1"/>
    <col min="5137" max="5376" width="9" style="1637"/>
    <col min="5377" max="5377" width="36" style="1637" customWidth="1"/>
    <col min="5378" max="5378" width="6.25" style="1637" customWidth="1"/>
    <col min="5379" max="5379" width="11.75" style="1637" customWidth="1"/>
    <col min="5380" max="5380" width="6.25" style="1637" customWidth="1"/>
    <col min="5381" max="5381" width="36" style="1637" customWidth="1"/>
    <col min="5382" max="5382" width="7.875" style="1637" customWidth="1"/>
    <col min="5383" max="5384" width="13.875" style="1637" customWidth="1"/>
    <col min="5385" max="5385" width="19.125" style="1637" customWidth="1"/>
    <col min="5386" max="5386" width="9" style="1637" customWidth="1"/>
    <col min="5387" max="5387" width="36" style="1637" customWidth="1"/>
    <col min="5388" max="5388" width="10.625" style="1637" customWidth="1"/>
    <col min="5389" max="5390" width="14.375" style="1637" customWidth="1"/>
    <col min="5391" max="5391" width="6.25" style="1637" customWidth="1"/>
    <col min="5392" max="5392" width="7.875" style="1637" customWidth="1"/>
    <col min="5393" max="5632" width="9" style="1637"/>
    <col min="5633" max="5633" width="36" style="1637" customWidth="1"/>
    <col min="5634" max="5634" width="6.25" style="1637" customWidth="1"/>
    <col min="5635" max="5635" width="11.75" style="1637" customWidth="1"/>
    <col min="5636" max="5636" width="6.25" style="1637" customWidth="1"/>
    <col min="5637" max="5637" width="36" style="1637" customWidth="1"/>
    <col min="5638" max="5638" width="7.875" style="1637" customWidth="1"/>
    <col min="5639" max="5640" width="13.875" style="1637" customWidth="1"/>
    <col min="5641" max="5641" width="19.125" style="1637" customWidth="1"/>
    <col min="5642" max="5642" width="9" style="1637" customWidth="1"/>
    <col min="5643" max="5643" width="36" style="1637" customWidth="1"/>
    <col min="5644" max="5644" width="10.625" style="1637" customWidth="1"/>
    <col min="5645" max="5646" width="14.375" style="1637" customWidth="1"/>
    <col min="5647" max="5647" width="6.25" style="1637" customWidth="1"/>
    <col min="5648" max="5648" width="7.875" style="1637" customWidth="1"/>
    <col min="5649" max="5888" width="9" style="1637"/>
    <col min="5889" max="5889" width="36" style="1637" customWidth="1"/>
    <col min="5890" max="5890" width="6.25" style="1637" customWidth="1"/>
    <col min="5891" max="5891" width="11.75" style="1637" customWidth="1"/>
    <col min="5892" max="5892" width="6.25" style="1637" customWidth="1"/>
    <col min="5893" max="5893" width="36" style="1637" customWidth="1"/>
    <col min="5894" max="5894" width="7.875" style="1637" customWidth="1"/>
    <col min="5895" max="5896" width="13.875" style="1637" customWidth="1"/>
    <col min="5897" max="5897" width="19.125" style="1637" customWidth="1"/>
    <col min="5898" max="5898" width="9" style="1637" customWidth="1"/>
    <col min="5899" max="5899" width="36" style="1637" customWidth="1"/>
    <col min="5900" max="5900" width="10.625" style="1637" customWidth="1"/>
    <col min="5901" max="5902" width="14.375" style="1637" customWidth="1"/>
    <col min="5903" max="5903" width="6.25" style="1637" customWidth="1"/>
    <col min="5904" max="5904" width="7.875" style="1637" customWidth="1"/>
    <col min="5905" max="6144" width="9" style="1637"/>
    <col min="6145" max="6145" width="36" style="1637" customWidth="1"/>
    <col min="6146" max="6146" width="6.25" style="1637" customWidth="1"/>
    <col min="6147" max="6147" width="11.75" style="1637" customWidth="1"/>
    <col min="6148" max="6148" width="6.25" style="1637" customWidth="1"/>
    <col min="6149" max="6149" width="36" style="1637" customWidth="1"/>
    <col min="6150" max="6150" width="7.875" style="1637" customWidth="1"/>
    <col min="6151" max="6152" width="13.875" style="1637" customWidth="1"/>
    <col min="6153" max="6153" width="19.125" style="1637" customWidth="1"/>
    <col min="6154" max="6154" width="9" style="1637" customWidth="1"/>
    <col min="6155" max="6155" width="36" style="1637" customWidth="1"/>
    <col min="6156" max="6156" width="10.625" style="1637" customWidth="1"/>
    <col min="6157" max="6158" width="14.375" style="1637" customWidth="1"/>
    <col min="6159" max="6159" width="6.25" style="1637" customWidth="1"/>
    <col min="6160" max="6160" width="7.875" style="1637" customWidth="1"/>
    <col min="6161" max="6400" width="9" style="1637"/>
    <col min="6401" max="6401" width="36" style="1637" customWidth="1"/>
    <col min="6402" max="6402" width="6.25" style="1637" customWidth="1"/>
    <col min="6403" max="6403" width="11.75" style="1637" customWidth="1"/>
    <col min="6404" max="6404" width="6.25" style="1637" customWidth="1"/>
    <col min="6405" max="6405" width="36" style="1637" customWidth="1"/>
    <col min="6406" max="6406" width="7.875" style="1637" customWidth="1"/>
    <col min="6407" max="6408" width="13.875" style="1637" customWidth="1"/>
    <col min="6409" max="6409" width="19.125" style="1637" customWidth="1"/>
    <col min="6410" max="6410" width="9" style="1637" customWidth="1"/>
    <col min="6411" max="6411" width="36" style="1637" customWidth="1"/>
    <col min="6412" max="6412" width="10.625" style="1637" customWidth="1"/>
    <col min="6413" max="6414" width="14.375" style="1637" customWidth="1"/>
    <col min="6415" max="6415" width="6.25" style="1637" customWidth="1"/>
    <col min="6416" max="6416" width="7.875" style="1637" customWidth="1"/>
    <col min="6417" max="6656" width="9" style="1637"/>
    <col min="6657" max="6657" width="36" style="1637" customWidth="1"/>
    <col min="6658" max="6658" width="6.25" style="1637" customWidth="1"/>
    <col min="6659" max="6659" width="11.75" style="1637" customWidth="1"/>
    <col min="6660" max="6660" width="6.25" style="1637" customWidth="1"/>
    <col min="6661" max="6661" width="36" style="1637" customWidth="1"/>
    <col min="6662" max="6662" width="7.875" style="1637" customWidth="1"/>
    <col min="6663" max="6664" width="13.875" style="1637" customWidth="1"/>
    <col min="6665" max="6665" width="19.125" style="1637" customWidth="1"/>
    <col min="6666" max="6666" width="9" style="1637" customWidth="1"/>
    <col min="6667" max="6667" width="36" style="1637" customWidth="1"/>
    <col min="6668" max="6668" width="10.625" style="1637" customWidth="1"/>
    <col min="6669" max="6670" width="14.375" style="1637" customWidth="1"/>
    <col min="6671" max="6671" width="6.25" style="1637" customWidth="1"/>
    <col min="6672" max="6672" width="7.875" style="1637" customWidth="1"/>
    <col min="6673" max="6912" width="9" style="1637"/>
    <col min="6913" max="6913" width="36" style="1637" customWidth="1"/>
    <col min="6914" max="6914" width="6.25" style="1637" customWidth="1"/>
    <col min="6915" max="6915" width="11.75" style="1637" customWidth="1"/>
    <col min="6916" max="6916" width="6.25" style="1637" customWidth="1"/>
    <col min="6917" max="6917" width="36" style="1637" customWidth="1"/>
    <col min="6918" max="6918" width="7.875" style="1637" customWidth="1"/>
    <col min="6919" max="6920" width="13.875" style="1637" customWidth="1"/>
    <col min="6921" max="6921" width="19.125" style="1637" customWidth="1"/>
    <col min="6922" max="6922" width="9" style="1637" customWidth="1"/>
    <col min="6923" max="6923" width="36" style="1637" customWidth="1"/>
    <col min="6924" max="6924" width="10.625" style="1637" customWidth="1"/>
    <col min="6925" max="6926" width="14.375" style="1637" customWidth="1"/>
    <col min="6927" max="6927" width="6.25" style="1637" customWidth="1"/>
    <col min="6928" max="6928" width="7.875" style="1637" customWidth="1"/>
    <col min="6929" max="7168" width="9" style="1637"/>
    <col min="7169" max="7169" width="36" style="1637" customWidth="1"/>
    <col min="7170" max="7170" width="6.25" style="1637" customWidth="1"/>
    <col min="7171" max="7171" width="11.75" style="1637" customWidth="1"/>
    <col min="7172" max="7172" width="6.25" style="1637" customWidth="1"/>
    <col min="7173" max="7173" width="36" style="1637" customWidth="1"/>
    <col min="7174" max="7174" width="7.875" style="1637" customWidth="1"/>
    <col min="7175" max="7176" width="13.875" style="1637" customWidth="1"/>
    <col min="7177" max="7177" width="19.125" style="1637" customWidth="1"/>
    <col min="7178" max="7178" width="9" style="1637" customWidth="1"/>
    <col min="7179" max="7179" width="36" style="1637" customWidth="1"/>
    <col min="7180" max="7180" width="10.625" style="1637" customWidth="1"/>
    <col min="7181" max="7182" width="14.375" style="1637" customWidth="1"/>
    <col min="7183" max="7183" width="6.25" style="1637" customWidth="1"/>
    <col min="7184" max="7184" width="7.875" style="1637" customWidth="1"/>
    <col min="7185" max="7424" width="9" style="1637"/>
    <col min="7425" max="7425" width="36" style="1637" customWidth="1"/>
    <col min="7426" max="7426" width="6.25" style="1637" customWidth="1"/>
    <col min="7427" max="7427" width="11.75" style="1637" customWidth="1"/>
    <col min="7428" max="7428" width="6.25" style="1637" customWidth="1"/>
    <col min="7429" max="7429" width="36" style="1637" customWidth="1"/>
    <col min="7430" max="7430" width="7.875" style="1637" customWidth="1"/>
    <col min="7431" max="7432" width="13.875" style="1637" customWidth="1"/>
    <col min="7433" max="7433" width="19.125" style="1637" customWidth="1"/>
    <col min="7434" max="7434" width="9" style="1637" customWidth="1"/>
    <col min="7435" max="7435" width="36" style="1637" customWidth="1"/>
    <col min="7436" max="7436" width="10.625" style="1637" customWidth="1"/>
    <col min="7437" max="7438" width="14.375" style="1637" customWidth="1"/>
    <col min="7439" max="7439" width="6.25" style="1637" customWidth="1"/>
    <col min="7440" max="7440" width="7.875" style="1637" customWidth="1"/>
    <col min="7441" max="7680" width="9" style="1637"/>
    <col min="7681" max="7681" width="36" style="1637" customWidth="1"/>
    <col min="7682" max="7682" width="6.25" style="1637" customWidth="1"/>
    <col min="7683" max="7683" width="11.75" style="1637" customWidth="1"/>
    <col min="7684" max="7684" width="6.25" style="1637" customWidth="1"/>
    <col min="7685" max="7685" width="36" style="1637" customWidth="1"/>
    <col min="7686" max="7686" width="7.875" style="1637" customWidth="1"/>
    <col min="7687" max="7688" width="13.875" style="1637" customWidth="1"/>
    <col min="7689" max="7689" width="19.125" style="1637" customWidth="1"/>
    <col min="7690" max="7690" width="9" style="1637" customWidth="1"/>
    <col min="7691" max="7691" width="36" style="1637" customWidth="1"/>
    <col min="7692" max="7692" width="10.625" style="1637" customWidth="1"/>
    <col min="7693" max="7694" width="14.375" style="1637" customWidth="1"/>
    <col min="7695" max="7695" width="6.25" style="1637" customWidth="1"/>
    <col min="7696" max="7696" width="7.875" style="1637" customWidth="1"/>
    <col min="7697" max="7936" width="9" style="1637"/>
    <col min="7937" max="7937" width="36" style="1637" customWidth="1"/>
    <col min="7938" max="7938" width="6.25" style="1637" customWidth="1"/>
    <col min="7939" max="7939" width="11.75" style="1637" customWidth="1"/>
    <col min="7940" max="7940" width="6.25" style="1637" customWidth="1"/>
    <col min="7941" max="7941" width="36" style="1637" customWidth="1"/>
    <col min="7942" max="7942" width="7.875" style="1637" customWidth="1"/>
    <col min="7943" max="7944" width="13.875" style="1637" customWidth="1"/>
    <col min="7945" max="7945" width="19.125" style="1637" customWidth="1"/>
    <col min="7946" max="7946" width="9" style="1637" customWidth="1"/>
    <col min="7947" max="7947" width="36" style="1637" customWidth="1"/>
    <col min="7948" max="7948" width="10.625" style="1637" customWidth="1"/>
    <col min="7949" max="7950" width="14.375" style="1637" customWidth="1"/>
    <col min="7951" max="7951" width="6.25" style="1637" customWidth="1"/>
    <col min="7952" max="7952" width="7.875" style="1637" customWidth="1"/>
    <col min="7953" max="8192" width="9" style="1637"/>
    <col min="8193" max="8193" width="36" style="1637" customWidth="1"/>
    <col min="8194" max="8194" width="6.25" style="1637" customWidth="1"/>
    <col min="8195" max="8195" width="11.75" style="1637" customWidth="1"/>
    <col min="8196" max="8196" width="6.25" style="1637" customWidth="1"/>
    <col min="8197" max="8197" width="36" style="1637" customWidth="1"/>
    <col min="8198" max="8198" width="7.875" style="1637" customWidth="1"/>
    <col min="8199" max="8200" width="13.875" style="1637" customWidth="1"/>
    <col min="8201" max="8201" width="19.125" style="1637" customWidth="1"/>
    <col min="8202" max="8202" width="9" style="1637" customWidth="1"/>
    <col min="8203" max="8203" width="36" style="1637" customWidth="1"/>
    <col min="8204" max="8204" width="10.625" style="1637" customWidth="1"/>
    <col min="8205" max="8206" width="14.375" style="1637" customWidth="1"/>
    <col min="8207" max="8207" width="6.25" style="1637" customWidth="1"/>
    <col min="8208" max="8208" width="7.875" style="1637" customWidth="1"/>
    <col min="8209" max="8448" width="9" style="1637"/>
    <col min="8449" max="8449" width="36" style="1637" customWidth="1"/>
    <col min="8450" max="8450" width="6.25" style="1637" customWidth="1"/>
    <col min="8451" max="8451" width="11.75" style="1637" customWidth="1"/>
    <col min="8452" max="8452" width="6.25" style="1637" customWidth="1"/>
    <col min="8453" max="8453" width="36" style="1637" customWidth="1"/>
    <col min="8454" max="8454" width="7.875" style="1637" customWidth="1"/>
    <col min="8455" max="8456" width="13.875" style="1637" customWidth="1"/>
    <col min="8457" max="8457" width="19.125" style="1637" customWidth="1"/>
    <col min="8458" max="8458" width="9" style="1637" customWidth="1"/>
    <col min="8459" max="8459" width="36" style="1637" customWidth="1"/>
    <col min="8460" max="8460" width="10.625" style="1637" customWidth="1"/>
    <col min="8461" max="8462" width="14.375" style="1637" customWidth="1"/>
    <col min="8463" max="8463" width="6.25" style="1637" customWidth="1"/>
    <col min="8464" max="8464" width="7.875" style="1637" customWidth="1"/>
    <col min="8465" max="8704" width="9" style="1637"/>
    <col min="8705" max="8705" width="36" style="1637" customWidth="1"/>
    <col min="8706" max="8706" width="6.25" style="1637" customWidth="1"/>
    <col min="8707" max="8707" width="11.75" style="1637" customWidth="1"/>
    <col min="8708" max="8708" width="6.25" style="1637" customWidth="1"/>
    <col min="8709" max="8709" width="36" style="1637" customWidth="1"/>
    <col min="8710" max="8710" width="7.875" style="1637" customWidth="1"/>
    <col min="8711" max="8712" width="13.875" style="1637" customWidth="1"/>
    <col min="8713" max="8713" width="19.125" style="1637" customWidth="1"/>
    <col min="8714" max="8714" width="9" style="1637" customWidth="1"/>
    <col min="8715" max="8715" width="36" style="1637" customWidth="1"/>
    <col min="8716" max="8716" width="10.625" style="1637" customWidth="1"/>
    <col min="8717" max="8718" width="14.375" style="1637" customWidth="1"/>
    <col min="8719" max="8719" width="6.25" style="1637" customWidth="1"/>
    <col min="8720" max="8720" width="7.875" style="1637" customWidth="1"/>
    <col min="8721" max="8960" width="9" style="1637"/>
    <col min="8961" max="8961" width="36" style="1637" customWidth="1"/>
    <col min="8962" max="8962" width="6.25" style="1637" customWidth="1"/>
    <col min="8963" max="8963" width="11.75" style="1637" customWidth="1"/>
    <col min="8964" max="8964" width="6.25" style="1637" customWidth="1"/>
    <col min="8965" max="8965" width="36" style="1637" customWidth="1"/>
    <col min="8966" max="8966" width="7.875" style="1637" customWidth="1"/>
    <col min="8967" max="8968" width="13.875" style="1637" customWidth="1"/>
    <col min="8969" max="8969" width="19.125" style="1637" customWidth="1"/>
    <col min="8970" max="8970" width="9" style="1637" customWidth="1"/>
    <col min="8971" max="8971" width="36" style="1637" customWidth="1"/>
    <col min="8972" max="8972" width="10.625" style="1637" customWidth="1"/>
    <col min="8973" max="8974" width="14.375" style="1637" customWidth="1"/>
    <col min="8975" max="8975" width="6.25" style="1637" customWidth="1"/>
    <col min="8976" max="8976" width="7.875" style="1637" customWidth="1"/>
    <col min="8977" max="9216" width="9" style="1637"/>
    <col min="9217" max="9217" width="36" style="1637" customWidth="1"/>
    <col min="9218" max="9218" width="6.25" style="1637" customWidth="1"/>
    <col min="9219" max="9219" width="11.75" style="1637" customWidth="1"/>
    <col min="9220" max="9220" width="6.25" style="1637" customWidth="1"/>
    <col min="9221" max="9221" width="36" style="1637" customWidth="1"/>
    <col min="9222" max="9222" width="7.875" style="1637" customWidth="1"/>
    <col min="9223" max="9224" width="13.875" style="1637" customWidth="1"/>
    <col min="9225" max="9225" width="19.125" style="1637" customWidth="1"/>
    <col min="9226" max="9226" width="9" style="1637" customWidth="1"/>
    <col min="9227" max="9227" width="36" style="1637" customWidth="1"/>
    <col min="9228" max="9228" width="10.625" style="1637" customWidth="1"/>
    <col min="9229" max="9230" width="14.375" style="1637" customWidth="1"/>
    <col min="9231" max="9231" width="6.25" style="1637" customWidth="1"/>
    <col min="9232" max="9232" width="7.875" style="1637" customWidth="1"/>
    <col min="9233" max="9472" width="9" style="1637"/>
    <col min="9473" max="9473" width="36" style="1637" customWidth="1"/>
    <col min="9474" max="9474" width="6.25" style="1637" customWidth="1"/>
    <col min="9475" max="9475" width="11.75" style="1637" customWidth="1"/>
    <col min="9476" max="9476" width="6.25" style="1637" customWidth="1"/>
    <col min="9477" max="9477" width="36" style="1637" customWidth="1"/>
    <col min="9478" max="9478" width="7.875" style="1637" customWidth="1"/>
    <col min="9479" max="9480" width="13.875" style="1637" customWidth="1"/>
    <col min="9481" max="9481" width="19.125" style="1637" customWidth="1"/>
    <col min="9482" max="9482" width="9" style="1637" customWidth="1"/>
    <col min="9483" max="9483" width="36" style="1637" customWidth="1"/>
    <col min="9484" max="9484" width="10.625" style="1637" customWidth="1"/>
    <col min="9485" max="9486" width="14.375" style="1637" customWidth="1"/>
    <col min="9487" max="9487" width="6.25" style="1637" customWidth="1"/>
    <col min="9488" max="9488" width="7.875" style="1637" customWidth="1"/>
    <col min="9489" max="9728" width="9" style="1637"/>
    <col min="9729" max="9729" width="36" style="1637" customWidth="1"/>
    <col min="9730" max="9730" width="6.25" style="1637" customWidth="1"/>
    <col min="9731" max="9731" width="11.75" style="1637" customWidth="1"/>
    <col min="9732" max="9732" width="6.25" style="1637" customWidth="1"/>
    <col min="9733" max="9733" width="36" style="1637" customWidth="1"/>
    <col min="9734" max="9734" width="7.875" style="1637" customWidth="1"/>
    <col min="9735" max="9736" width="13.875" style="1637" customWidth="1"/>
    <col min="9737" max="9737" width="19.125" style="1637" customWidth="1"/>
    <col min="9738" max="9738" width="9" style="1637" customWidth="1"/>
    <col min="9739" max="9739" width="36" style="1637" customWidth="1"/>
    <col min="9740" max="9740" width="10.625" style="1637" customWidth="1"/>
    <col min="9741" max="9742" width="14.375" style="1637" customWidth="1"/>
    <col min="9743" max="9743" width="6.25" style="1637" customWidth="1"/>
    <col min="9744" max="9744" width="7.875" style="1637" customWidth="1"/>
    <col min="9745" max="9984" width="9" style="1637"/>
    <col min="9985" max="9985" width="36" style="1637" customWidth="1"/>
    <col min="9986" max="9986" width="6.25" style="1637" customWidth="1"/>
    <col min="9987" max="9987" width="11.75" style="1637" customWidth="1"/>
    <col min="9988" max="9988" width="6.25" style="1637" customWidth="1"/>
    <col min="9989" max="9989" width="36" style="1637" customWidth="1"/>
    <col min="9990" max="9990" width="7.875" style="1637" customWidth="1"/>
    <col min="9991" max="9992" width="13.875" style="1637" customWidth="1"/>
    <col min="9993" max="9993" width="19.125" style="1637" customWidth="1"/>
    <col min="9994" max="9994" width="9" style="1637" customWidth="1"/>
    <col min="9995" max="9995" width="36" style="1637" customWidth="1"/>
    <col min="9996" max="9996" width="10.625" style="1637" customWidth="1"/>
    <col min="9997" max="9998" width="14.375" style="1637" customWidth="1"/>
    <col min="9999" max="9999" width="6.25" style="1637" customWidth="1"/>
    <col min="10000" max="10000" width="7.875" style="1637" customWidth="1"/>
    <col min="10001" max="10240" width="9" style="1637"/>
    <col min="10241" max="10241" width="36" style="1637" customWidth="1"/>
    <col min="10242" max="10242" width="6.25" style="1637" customWidth="1"/>
    <col min="10243" max="10243" width="11.75" style="1637" customWidth="1"/>
    <col min="10244" max="10244" width="6.25" style="1637" customWidth="1"/>
    <col min="10245" max="10245" width="36" style="1637" customWidth="1"/>
    <col min="10246" max="10246" width="7.875" style="1637" customWidth="1"/>
    <col min="10247" max="10248" width="13.875" style="1637" customWidth="1"/>
    <col min="10249" max="10249" width="19.125" style="1637" customWidth="1"/>
    <col min="10250" max="10250" width="9" style="1637" customWidth="1"/>
    <col min="10251" max="10251" width="36" style="1637" customWidth="1"/>
    <col min="10252" max="10252" width="10.625" style="1637" customWidth="1"/>
    <col min="10253" max="10254" width="14.375" style="1637" customWidth="1"/>
    <col min="10255" max="10255" width="6.25" style="1637" customWidth="1"/>
    <col min="10256" max="10256" width="7.875" style="1637" customWidth="1"/>
    <col min="10257" max="10496" width="9" style="1637"/>
    <col min="10497" max="10497" width="36" style="1637" customWidth="1"/>
    <col min="10498" max="10498" width="6.25" style="1637" customWidth="1"/>
    <col min="10499" max="10499" width="11.75" style="1637" customWidth="1"/>
    <col min="10500" max="10500" width="6.25" style="1637" customWidth="1"/>
    <col min="10501" max="10501" width="36" style="1637" customWidth="1"/>
    <col min="10502" max="10502" width="7.875" style="1637" customWidth="1"/>
    <col min="10503" max="10504" width="13.875" style="1637" customWidth="1"/>
    <col min="10505" max="10505" width="19.125" style="1637" customWidth="1"/>
    <col min="10506" max="10506" width="9" style="1637" customWidth="1"/>
    <col min="10507" max="10507" width="36" style="1637" customWidth="1"/>
    <col min="10508" max="10508" width="10.625" style="1637" customWidth="1"/>
    <col min="10509" max="10510" width="14.375" style="1637" customWidth="1"/>
    <col min="10511" max="10511" width="6.25" style="1637" customWidth="1"/>
    <col min="10512" max="10512" width="7.875" style="1637" customWidth="1"/>
    <col min="10513" max="10752" width="9" style="1637"/>
    <col min="10753" max="10753" width="36" style="1637" customWidth="1"/>
    <col min="10754" max="10754" width="6.25" style="1637" customWidth="1"/>
    <col min="10755" max="10755" width="11.75" style="1637" customWidth="1"/>
    <col min="10756" max="10756" width="6.25" style="1637" customWidth="1"/>
    <col min="10757" max="10757" width="36" style="1637" customWidth="1"/>
    <col min="10758" max="10758" width="7.875" style="1637" customWidth="1"/>
    <col min="10759" max="10760" width="13.875" style="1637" customWidth="1"/>
    <col min="10761" max="10761" width="19.125" style="1637" customWidth="1"/>
    <col min="10762" max="10762" width="9" style="1637" customWidth="1"/>
    <col min="10763" max="10763" width="36" style="1637" customWidth="1"/>
    <col min="10764" max="10764" width="10.625" style="1637" customWidth="1"/>
    <col min="10765" max="10766" width="14.375" style="1637" customWidth="1"/>
    <col min="10767" max="10767" width="6.25" style="1637" customWidth="1"/>
    <col min="10768" max="10768" width="7.875" style="1637" customWidth="1"/>
    <col min="10769" max="11008" width="9" style="1637"/>
    <col min="11009" max="11009" width="36" style="1637" customWidth="1"/>
    <col min="11010" max="11010" width="6.25" style="1637" customWidth="1"/>
    <col min="11011" max="11011" width="11.75" style="1637" customWidth="1"/>
    <col min="11012" max="11012" width="6.25" style="1637" customWidth="1"/>
    <col min="11013" max="11013" width="36" style="1637" customWidth="1"/>
    <col min="11014" max="11014" width="7.875" style="1637" customWidth="1"/>
    <col min="11015" max="11016" width="13.875" style="1637" customWidth="1"/>
    <col min="11017" max="11017" width="19.125" style="1637" customWidth="1"/>
    <col min="11018" max="11018" width="9" style="1637" customWidth="1"/>
    <col min="11019" max="11019" width="36" style="1637" customWidth="1"/>
    <col min="11020" max="11020" width="10.625" style="1637" customWidth="1"/>
    <col min="11021" max="11022" width="14.375" style="1637" customWidth="1"/>
    <col min="11023" max="11023" width="6.25" style="1637" customWidth="1"/>
    <col min="11024" max="11024" width="7.875" style="1637" customWidth="1"/>
    <col min="11025" max="11264" width="9" style="1637"/>
    <col min="11265" max="11265" width="36" style="1637" customWidth="1"/>
    <col min="11266" max="11266" width="6.25" style="1637" customWidth="1"/>
    <col min="11267" max="11267" width="11.75" style="1637" customWidth="1"/>
    <col min="11268" max="11268" width="6.25" style="1637" customWidth="1"/>
    <col min="11269" max="11269" width="36" style="1637" customWidth="1"/>
    <col min="11270" max="11270" width="7.875" style="1637" customWidth="1"/>
    <col min="11271" max="11272" width="13.875" style="1637" customWidth="1"/>
    <col min="11273" max="11273" width="19.125" style="1637" customWidth="1"/>
    <col min="11274" max="11274" width="9" style="1637" customWidth="1"/>
    <col min="11275" max="11275" width="36" style="1637" customWidth="1"/>
    <col min="11276" max="11276" width="10.625" style="1637" customWidth="1"/>
    <col min="11277" max="11278" width="14.375" style="1637" customWidth="1"/>
    <col min="11279" max="11279" width="6.25" style="1637" customWidth="1"/>
    <col min="11280" max="11280" width="7.875" style="1637" customWidth="1"/>
    <col min="11281" max="11520" width="9" style="1637"/>
    <col min="11521" max="11521" width="36" style="1637" customWidth="1"/>
    <col min="11522" max="11522" width="6.25" style="1637" customWidth="1"/>
    <col min="11523" max="11523" width="11.75" style="1637" customWidth="1"/>
    <col min="11524" max="11524" width="6.25" style="1637" customWidth="1"/>
    <col min="11525" max="11525" width="36" style="1637" customWidth="1"/>
    <col min="11526" max="11526" width="7.875" style="1637" customWidth="1"/>
    <col min="11527" max="11528" width="13.875" style="1637" customWidth="1"/>
    <col min="11529" max="11529" width="19.125" style="1637" customWidth="1"/>
    <col min="11530" max="11530" width="9" style="1637" customWidth="1"/>
    <col min="11531" max="11531" width="36" style="1637" customWidth="1"/>
    <col min="11532" max="11532" width="10.625" style="1637" customWidth="1"/>
    <col min="11533" max="11534" width="14.375" style="1637" customWidth="1"/>
    <col min="11535" max="11535" width="6.25" style="1637" customWidth="1"/>
    <col min="11536" max="11536" width="7.875" style="1637" customWidth="1"/>
    <col min="11537" max="11776" width="9" style="1637"/>
    <col min="11777" max="11777" width="36" style="1637" customWidth="1"/>
    <col min="11778" max="11778" width="6.25" style="1637" customWidth="1"/>
    <col min="11779" max="11779" width="11.75" style="1637" customWidth="1"/>
    <col min="11780" max="11780" width="6.25" style="1637" customWidth="1"/>
    <col min="11781" max="11781" width="36" style="1637" customWidth="1"/>
    <col min="11782" max="11782" width="7.875" style="1637" customWidth="1"/>
    <col min="11783" max="11784" width="13.875" style="1637" customWidth="1"/>
    <col min="11785" max="11785" width="19.125" style="1637" customWidth="1"/>
    <col min="11786" max="11786" width="9" style="1637" customWidth="1"/>
    <col min="11787" max="11787" width="36" style="1637" customWidth="1"/>
    <col min="11788" max="11788" width="10.625" style="1637" customWidth="1"/>
    <col min="11789" max="11790" width="14.375" style="1637" customWidth="1"/>
    <col min="11791" max="11791" width="6.25" style="1637" customWidth="1"/>
    <col min="11792" max="11792" width="7.875" style="1637" customWidth="1"/>
    <col min="11793" max="12032" width="9" style="1637"/>
    <col min="12033" max="12033" width="36" style="1637" customWidth="1"/>
    <col min="12034" max="12034" width="6.25" style="1637" customWidth="1"/>
    <col min="12035" max="12035" width="11.75" style="1637" customWidth="1"/>
    <col min="12036" max="12036" width="6.25" style="1637" customWidth="1"/>
    <col min="12037" max="12037" width="36" style="1637" customWidth="1"/>
    <col min="12038" max="12038" width="7.875" style="1637" customWidth="1"/>
    <col min="12039" max="12040" width="13.875" style="1637" customWidth="1"/>
    <col min="12041" max="12041" width="19.125" style="1637" customWidth="1"/>
    <col min="12042" max="12042" width="9" style="1637" customWidth="1"/>
    <col min="12043" max="12043" width="36" style="1637" customWidth="1"/>
    <col min="12044" max="12044" width="10.625" style="1637" customWidth="1"/>
    <col min="12045" max="12046" width="14.375" style="1637" customWidth="1"/>
    <col min="12047" max="12047" width="6.25" style="1637" customWidth="1"/>
    <col min="12048" max="12048" width="7.875" style="1637" customWidth="1"/>
    <col min="12049" max="12288" width="9" style="1637"/>
    <col min="12289" max="12289" width="36" style="1637" customWidth="1"/>
    <col min="12290" max="12290" width="6.25" style="1637" customWidth="1"/>
    <col min="12291" max="12291" width="11.75" style="1637" customWidth="1"/>
    <col min="12292" max="12292" width="6.25" style="1637" customWidth="1"/>
    <col min="12293" max="12293" width="36" style="1637" customWidth="1"/>
    <col min="12294" max="12294" width="7.875" style="1637" customWidth="1"/>
    <col min="12295" max="12296" width="13.875" style="1637" customWidth="1"/>
    <col min="12297" max="12297" width="19.125" style="1637" customWidth="1"/>
    <col min="12298" max="12298" width="9" style="1637" customWidth="1"/>
    <col min="12299" max="12299" width="36" style="1637" customWidth="1"/>
    <col min="12300" max="12300" width="10.625" style="1637" customWidth="1"/>
    <col min="12301" max="12302" width="14.375" style="1637" customWidth="1"/>
    <col min="12303" max="12303" width="6.25" style="1637" customWidth="1"/>
    <col min="12304" max="12304" width="7.875" style="1637" customWidth="1"/>
    <col min="12305" max="12544" width="9" style="1637"/>
    <col min="12545" max="12545" width="36" style="1637" customWidth="1"/>
    <col min="12546" max="12546" width="6.25" style="1637" customWidth="1"/>
    <col min="12547" max="12547" width="11.75" style="1637" customWidth="1"/>
    <col min="12548" max="12548" width="6.25" style="1637" customWidth="1"/>
    <col min="12549" max="12549" width="36" style="1637" customWidth="1"/>
    <col min="12550" max="12550" width="7.875" style="1637" customWidth="1"/>
    <col min="12551" max="12552" width="13.875" style="1637" customWidth="1"/>
    <col min="12553" max="12553" width="19.125" style="1637" customWidth="1"/>
    <col min="12554" max="12554" width="9" style="1637" customWidth="1"/>
    <col min="12555" max="12555" width="36" style="1637" customWidth="1"/>
    <col min="12556" max="12556" width="10.625" style="1637" customWidth="1"/>
    <col min="12557" max="12558" width="14.375" style="1637" customWidth="1"/>
    <col min="12559" max="12559" width="6.25" style="1637" customWidth="1"/>
    <col min="12560" max="12560" width="7.875" style="1637" customWidth="1"/>
    <col min="12561" max="12800" width="9" style="1637"/>
    <col min="12801" max="12801" width="36" style="1637" customWidth="1"/>
    <col min="12802" max="12802" width="6.25" style="1637" customWidth="1"/>
    <col min="12803" max="12803" width="11.75" style="1637" customWidth="1"/>
    <col min="12804" max="12804" width="6.25" style="1637" customWidth="1"/>
    <col min="12805" max="12805" width="36" style="1637" customWidth="1"/>
    <col min="12806" max="12806" width="7.875" style="1637" customWidth="1"/>
    <col min="12807" max="12808" width="13.875" style="1637" customWidth="1"/>
    <col min="12809" max="12809" width="19.125" style="1637" customWidth="1"/>
    <col min="12810" max="12810" width="9" style="1637" customWidth="1"/>
    <col min="12811" max="12811" width="36" style="1637" customWidth="1"/>
    <col min="12812" max="12812" width="10.625" style="1637" customWidth="1"/>
    <col min="12813" max="12814" width="14.375" style="1637" customWidth="1"/>
    <col min="12815" max="12815" width="6.25" style="1637" customWidth="1"/>
    <col min="12816" max="12816" width="7.875" style="1637" customWidth="1"/>
    <col min="12817" max="13056" width="9" style="1637"/>
    <col min="13057" max="13057" width="36" style="1637" customWidth="1"/>
    <col min="13058" max="13058" width="6.25" style="1637" customWidth="1"/>
    <col min="13059" max="13059" width="11.75" style="1637" customWidth="1"/>
    <col min="13060" max="13060" width="6.25" style="1637" customWidth="1"/>
    <col min="13061" max="13061" width="36" style="1637" customWidth="1"/>
    <col min="13062" max="13062" width="7.875" style="1637" customWidth="1"/>
    <col min="13063" max="13064" width="13.875" style="1637" customWidth="1"/>
    <col min="13065" max="13065" width="19.125" style="1637" customWidth="1"/>
    <col min="13066" max="13066" width="9" style="1637" customWidth="1"/>
    <col min="13067" max="13067" width="36" style="1637" customWidth="1"/>
    <col min="13068" max="13068" width="10.625" style="1637" customWidth="1"/>
    <col min="13069" max="13070" width="14.375" style="1637" customWidth="1"/>
    <col min="13071" max="13071" width="6.25" style="1637" customWidth="1"/>
    <col min="13072" max="13072" width="7.875" style="1637" customWidth="1"/>
    <col min="13073" max="13312" width="9" style="1637"/>
    <col min="13313" max="13313" width="36" style="1637" customWidth="1"/>
    <col min="13314" max="13314" width="6.25" style="1637" customWidth="1"/>
    <col min="13315" max="13315" width="11.75" style="1637" customWidth="1"/>
    <col min="13316" max="13316" width="6.25" style="1637" customWidth="1"/>
    <col min="13317" max="13317" width="36" style="1637" customWidth="1"/>
    <col min="13318" max="13318" width="7.875" style="1637" customWidth="1"/>
    <col min="13319" max="13320" width="13.875" style="1637" customWidth="1"/>
    <col min="13321" max="13321" width="19.125" style="1637" customWidth="1"/>
    <col min="13322" max="13322" width="9" style="1637" customWidth="1"/>
    <col min="13323" max="13323" width="36" style="1637" customWidth="1"/>
    <col min="13324" max="13324" width="10.625" style="1637" customWidth="1"/>
    <col min="13325" max="13326" width="14.375" style="1637" customWidth="1"/>
    <col min="13327" max="13327" width="6.25" style="1637" customWidth="1"/>
    <col min="13328" max="13328" width="7.875" style="1637" customWidth="1"/>
    <col min="13329" max="13568" width="9" style="1637"/>
    <col min="13569" max="13569" width="36" style="1637" customWidth="1"/>
    <col min="13570" max="13570" width="6.25" style="1637" customWidth="1"/>
    <col min="13571" max="13571" width="11.75" style="1637" customWidth="1"/>
    <col min="13572" max="13572" width="6.25" style="1637" customWidth="1"/>
    <col min="13573" max="13573" width="36" style="1637" customWidth="1"/>
    <col min="13574" max="13574" width="7.875" style="1637" customWidth="1"/>
    <col min="13575" max="13576" width="13.875" style="1637" customWidth="1"/>
    <col min="13577" max="13577" width="19.125" style="1637" customWidth="1"/>
    <col min="13578" max="13578" width="9" style="1637" customWidth="1"/>
    <col min="13579" max="13579" width="36" style="1637" customWidth="1"/>
    <col min="13580" max="13580" width="10.625" style="1637" customWidth="1"/>
    <col min="13581" max="13582" width="14.375" style="1637" customWidth="1"/>
    <col min="13583" max="13583" width="6.25" style="1637" customWidth="1"/>
    <col min="13584" max="13584" width="7.875" style="1637" customWidth="1"/>
    <col min="13585" max="13824" width="9" style="1637"/>
    <col min="13825" max="13825" width="36" style="1637" customWidth="1"/>
    <col min="13826" max="13826" width="6.25" style="1637" customWidth="1"/>
    <col min="13827" max="13827" width="11.75" style="1637" customWidth="1"/>
    <col min="13828" max="13828" width="6.25" style="1637" customWidth="1"/>
    <col min="13829" max="13829" width="36" style="1637" customWidth="1"/>
    <col min="13830" max="13830" width="7.875" style="1637" customWidth="1"/>
    <col min="13831" max="13832" width="13.875" style="1637" customWidth="1"/>
    <col min="13833" max="13833" width="19.125" style="1637" customWidth="1"/>
    <col min="13834" max="13834" width="9" style="1637" customWidth="1"/>
    <col min="13835" max="13835" width="36" style="1637" customWidth="1"/>
    <col min="13836" max="13836" width="10.625" style="1637" customWidth="1"/>
    <col min="13837" max="13838" width="14.375" style="1637" customWidth="1"/>
    <col min="13839" max="13839" width="6.25" style="1637" customWidth="1"/>
    <col min="13840" max="13840" width="7.875" style="1637" customWidth="1"/>
    <col min="13841" max="14080" width="9" style="1637"/>
    <col min="14081" max="14081" width="36" style="1637" customWidth="1"/>
    <col min="14082" max="14082" width="6.25" style="1637" customWidth="1"/>
    <col min="14083" max="14083" width="11.75" style="1637" customWidth="1"/>
    <col min="14084" max="14084" width="6.25" style="1637" customWidth="1"/>
    <col min="14085" max="14085" width="36" style="1637" customWidth="1"/>
    <col min="14086" max="14086" width="7.875" style="1637" customWidth="1"/>
    <col min="14087" max="14088" width="13.875" style="1637" customWidth="1"/>
    <col min="14089" max="14089" width="19.125" style="1637" customWidth="1"/>
    <col min="14090" max="14090" width="9" style="1637" customWidth="1"/>
    <col min="14091" max="14091" width="36" style="1637" customWidth="1"/>
    <col min="14092" max="14092" width="10.625" style="1637" customWidth="1"/>
    <col min="14093" max="14094" width="14.375" style="1637" customWidth="1"/>
    <col min="14095" max="14095" width="6.25" style="1637" customWidth="1"/>
    <col min="14096" max="14096" width="7.875" style="1637" customWidth="1"/>
    <col min="14097" max="14336" width="9" style="1637"/>
    <col min="14337" max="14337" width="36" style="1637" customWidth="1"/>
    <col min="14338" max="14338" width="6.25" style="1637" customWidth="1"/>
    <col min="14339" max="14339" width="11.75" style="1637" customWidth="1"/>
    <col min="14340" max="14340" width="6.25" style="1637" customWidth="1"/>
    <col min="14341" max="14341" width="36" style="1637" customWidth="1"/>
    <col min="14342" max="14342" width="7.875" style="1637" customWidth="1"/>
    <col min="14343" max="14344" width="13.875" style="1637" customWidth="1"/>
    <col min="14345" max="14345" width="19.125" style="1637" customWidth="1"/>
    <col min="14346" max="14346" width="9" style="1637" customWidth="1"/>
    <col min="14347" max="14347" width="36" style="1637" customWidth="1"/>
    <col min="14348" max="14348" width="10.625" style="1637" customWidth="1"/>
    <col min="14349" max="14350" width="14.375" style="1637" customWidth="1"/>
    <col min="14351" max="14351" width="6.25" style="1637" customWidth="1"/>
    <col min="14352" max="14352" width="7.875" style="1637" customWidth="1"/>
    <col min="14353" max="14592" width="9" style="1637"/>
    <col min="14593" max="14593" width="36" style="1637" customWidth="1"/>
    <col min="14594" max="14594" width="6.25" style="1637" customWidth="1"/>
    <col min="14595" max="14595" width="11.75" style="1637" customWidth="1"/>
    <col min="14596" max="14596" width="6.25" style="1637" customWidth="1"/>
    <col min="14597" max="14597" width="36" style="1637" customWidth="1"/>
    <col min="14598" max="14598" width="7.875" style="1637" customWidth="1"/>
    <col min="14599" max="14600" width="13.875" style="1637" customWidth="1"/>
    <col min="14601" max="14601" width="19.125" style="1637" customWidth="1"/>
    <col min="14602" max="14602" width="9" style="1637" customWidth="1"/>
    <col min="14603" max="14603" width="36" style="1637" customWidth="1"/>
    <col min="14604" max="14604" width="10.625" style="1637" customWidth="1"/>
    <col min="14605" max="14606" width="14.375" style="1637" customWidth="1"/>
    <col min="14607" max="14607" width="6.25" style="1637" customWidth="1"/>
    <col min="14608" max="14608" width="7.875" style="1637" customWidth="1"/>
    <col min="14609" max="14848" width="9" style="1637"/>
    <col min="14849" max="14849" width="36" style="1637" customWidth="1"/>
    <col min="14850" max="14850" width="6.25" style="1637" customWidth="1"/>
    <col min="14851" max="14851" width="11.75" style="1637" customWidth="1"/>
    <col min="14852" max="14852" width="6.25" style="1637" customWidth="1"/>
    <col min="14853" max="14853" width="36" style="1637" customWidth="1"/>
    <col min="14854" max="14854" width="7.875" style="1637" customWidth="1"/>
    <col min="14855" max="14856" width="13.875" style="1637" customWidth="1"/>
    <col min="14857" max="14857" width="19.125" style="1637" customWidth="1"/>
    <col min="14858" max="14858" width="9" style="1637" customWidth="1"/>
    <col min="14859" max="14859" width="36" style="1637" customWidth="1"/>
    <col min="14860" max="14860" width="10.625" style="1637" customWidth="1"/>
    <col min="14861" max="14862" width="14.375" style="1637" customWidth="1"/>
    <col min="14863" max="14863" width="6.25" style="1637" customWidth="1"/>
    <col min="14864" max="14864" width="7.875" style="1637" customWidth="1"/>
    <col min="14865" max="15104" width="9" style="1637"/>
    <col min="15105" max="15105" width="36" style="1637" customWidth="1"/>
    <col min="15106" max="15106" width="6.25" style="1637" customWidth="1"/>
    <col min="15107" max="15107" width="11.75" style="1637" customWidth="1"/>
    <col min="15108" max="15108" width="6.25" style="1637" customWidth="1"/>
    <col min="15109" max="15109" width="36" style="1637" customWidth="1"/>
    <col min="15110" max="15110" width="7.875" style="1637" customWidth="1"/>
    <col min="15111" max="15112" width="13.875" style="1637" customWidth="1"/>
    <col min="15113" max="15113" width="19.125" style="1637" customWidth="1"/>
    <col min="15114" max="15114" width="9" style="1637" customWidth="1"/>
    <col min="15115" max="15115" width="36" style="1637" customWidth="1"/>
    <col min="15116" max="15116" width="10.625" style="1637" customWidth="1"/>
    <col min="15117" max="15118" width="14.375" style="1637" customWidth="1"/>
    <col min="15119" max="15119" width="6.25" style="1637" customWidth="1"/>
    <col min="15120" max="15120" width="7.875" style="1637" customWidth="1"/>
    <col min="15121" max="15360" width="9" style="1637"/>
    <col min="15361" max="15361" width="36" style="1637" customWidth="1"/>
    <col min="15362" max="15362" width="6.25" style="1637" customWidth="1"/>
    <col min="15363" max="15363" width="11.75" style="1637" customWidth="1"/>
    <col min="15364" max="15364" width="6.25" style="1637" customWidth="1"/>
    <col min="15365" max="15365" width="36" style="1637" customWidth="1"/>
    <col min="15366" max="15366" width="7.875" style="1637" customWidth="1"/>
    <col min="15367" max="15368" width="13.875" style="1637" customWidth="1"/>
    <col min="15369" max="15369" width="19.125" style="1637" customWidth="1"/>
    <col min="15370" max="15370" width="9" style="1637" customWidth="1"/>
    <col min="15371" max="15371" width="36" style="1637" customWidth="1"/>
    <col min="15372" max="15372" width="10.625" style="1637" customWidth="1"/>
    <col min="15373" max="15374" width="14.375" style="1637" customWidth="1"/>
    <col min="15375" max="15375" width="6.25" style="1637" customWidth="1"/>
    <col min="15376" max="15376" width="7.875" style="1637" customWidth="1"/>
    <col min="15377" max="15616" width="9" style="1637"/>
    <col min="15617" max="15617" width="36" style="1637" customWidth="1"/>
    <col min="15618" max="15618" width="6.25" style="1637" customWidth="1"/>
    <col min="15619" max="15619" width="11.75" style="1637" customWidth="1"/>
    <col min="15620" max="15620" width="6.25" style="1637" customWidth="1"/>
    <col min="15621" max="15621" width="36" style="1637" customWidth="1"/>
    <col min="15622" max="15622" width="7.875" style="1637" customWidth="1"/>
    <col min="15623" max="15624" width="13.875" style="1637" customWidth="1"/>
    <col min="15625" max="15625" width="19.125" style="1637" customWidth="1"/>
    <col min="15626" max="15626" width="9" style="1637" customWidth="1"/>
    <col min="15627" max="15627" width="36" style="1637" customWidth="1"/>
    <col min="15628" max="15628" width="10.625" style="1637" customWidth="1"/>
    <col min="15629" max="15630" width="14.375" style="1637" customWidth="1"/>
    <col min="15631" max="15631" width="6.25" style="1637" customWidth="1"/>
    <col min="15632" max="15632" width="7.875" style="1637" customWidth="1"/>
    <col min="15633" max="15872" width="9" style="1637"/>
    <col min="15873" max="15873" width="36" style="1637" customWidth="1"/>
    <col min="15874" max="15874" width="6.25" style="1637" customWidth="1"/>
    <col min="15875" max="15875" width="11.75" style="1637" customWidth="1"/>
    <col min="15876" max="15876" width="6.25" style="1637" customWidth="1"/>
    <col min="15877" max="15877" width="36" style="1637" customWidth="1"/>
    <col min="15878" max="15878" width="7.875" style="1637" customWidth="1"/>
    <col min="15879" max="15880" width="13.875" style="1637" customWidth="1"/>
    <col min="15881" max="15881" width="19.125" style="1637" customWidth="1"/>
    <col min="15882" max="15882" width="9" style="1637" customWidth="1"/>
    <col min="15883" max="15883" width="36" style="1637" customWidth="1"/>
    <col min="15884" max="15884" width="10.625" style="1637" customWidth="1"/>
    <col min="15885" max="15886" width="14.375" style="1637" customWidth="1"/>
    <col min="15887" max="15887" width="6.25" style="1637" customWidth="1"/>
    <col min="15888" max="15888" width="7.875" style="1637" customWidth="1"/>
    <col min="15889" max="16128" width="9" style="1637"/>
    <col min="16129" max="16129" width="36" style="1637" customWidth="1"/>
    <col min="16130" max="16130" width="6.25" style="1637" customWidth="1"/>
    <col min="16131" max="16131" width="11.75" style="1637" customWidth="1"/>
    <col min="16132" max="16132" width="6.25" style="1637" customWidth="1"/>
    <col min="16133" max="16133" width="36" style="1637" customWidth="1"/>
    <col min="16134" max="16134" width="7.875" style="1637" customWidth="1"/>
    <col min="16135" max="16136" width="13.875" style="1637" customWidth="1"/>
    <col min="16137" max="16137" width="19.125" style="1637" customWidth="1"/>
    <col min="16138" max="16138" width="9" style="1637" customWidth="1"/>
    <col min="16139" max="16139" width="36" style="1637" customWidth="1"/>
    <col min="16140" max="16140" width="10.625" style="1637" customWidth="1"/>
    <col min="16141" max="16142" width="14.375" style="1637" customWidth="1"/>
    <col min="16143" max="16143" width="6.25" style="1637" customWidth="1"/>
    <col min="16144" max="16144" width="7.875" style="1637" customWidth="1"/>
    <col min="16145" max="16384" width="9" style="1637"/>
  </cols>
  <sheetData>
    <row r="1" spans="1:16">
      <c r="A1" s="1637" t="s">
        <v>3049</v>
      </c>
      <c r="B1" s="1637" t="s">
        <v>3050</v>
      </c>
      <c r="C1" s="1637" t="s">
        <v>3051</v>
      </c>
      <c r="D1" s="1637" t="s">
        <v>3052</v>
      </c>
      <c r="E1" s="1637" t="s">
        <v>3053</v>
      </c>
      <c r="F1" s="1637" t="s">
        <v>3054</v>
      </c>
      <c r="G1" s="1637" t="s">
        <v>3055</v>
      </c>
      <c r="H1" s="1637" t="s">
        <v>3056</v>
      </c>
      <c r="I1" s="1637" t="s">
        <v>3057</v>
      </c>
      <c r="J1" s="1637" t="s">
        <v>3058</v>
      </c>
      <c r="K1" s="1637" t="s">
        <v>3059</v>
      </c>
      <c r="L1" s="1637" t="s">
        <v>3060</v>
      </c>
      <c r="M1" s="1637" t="s">
        <v>3061</v>
      </c>
      <c r="N1" s="2949" t="s">
        <v>3227</v>
      </c>
      <c r="O1" s="1637" t="s">
        <v>3062</v>
      </c>
      <c r="P1" s="1637" t="s">
        <v>3063</v>
      </c>
    </row>
    <row r="2" spans="1:16" s="2956" customFormat="1" ht="12.75">
      <c r="A2" s="2955" t="s">
        <v>3228</v>
      </c>
      <c r="B2" s="2956" t="s">
        <v>3065</v>
      </c>
      <c r="C2" s="2956" t="s">
        <v>3066</v>
      </c>
      <c r="D2" s="2956" t="s">
        <v>3067</v>
      </c>
      <c r="E2" s="2956" t="s">
        <v>3064</v>
      </c>
      <c r="F2" s="2956" t="s">
        <v>3068</v>
      </c>
      <c r="G2" s="2956">
        <v>2400</v>
      </c>
      <c r="H2" s="2956">
        <v>1200</v>
      </c>
      <c r="I2" s="2956" t="s">
        <v>3069</v>
      </c>
      <c r="J2" s="2956" t="s">
        <v>3070</v>
      </c>
      <c r="K2" s="2956" t="s">
        <v>3071</v>
      </c>
      <c r="L2" s="2956">
        <v>317</v>
      </c>
      <c r="M2" s="2956">
        <v>2641.67</v>
      </c>
      <c r="N2" s="2956">
        <f t="shared" ref="N2:N33" si="0">ROUND(L2/G2*10000,0)</f>
        <v>1321</v>
      </c>
      <c r="O2" s="2956">
        <v>8.56</v>
      </c>
      <c r="P2" s="2956" t="s">
        <v>3072</v>
      </c>
    </row>
    <row r="3" spans="1:16">
      <c r="A3" s="1637" t="s">
        <v>3080</v>
      </c>
      <c r="B3" s="1637" t="s">
        <v>3065</v>
      </c>
      <c r="C3" s="1637" t="s">
        <v>3066</v>
      </c>
      <c r="D3" s="1637" t="s">
        <v>3067</v>
      </c>
      <c r="E3" s="1637" t="s">
        <v>3080</v>
      </c>
      <c r="F3" s="1637" t="s">
        <v>3068</v>
      </c>
      <c r="G3" s="1637">
        <v>75517</v>
      </c>
      <c r="H3" s="1637">
        <v>166137.4</v>
      </c>
      <c r="I3" s="1637" t="s">
        <v>3081</v>
      </c>
      <c r="J3" s="1637" t="s">
        <v>3075</v>
      </c>
      <c r="K3" s="1637" t="s">
        <v>3082</v>
      </c>
      <c r="L3" s="1637">
        <v>23335</v>
      </c>
      <c r="M3" s="1637">
        <v>1404.55</v>
      </c>
      <c r="N3" s="1637">
        <f t="shared" si="0"/>
        <v>3090</v>
      </c>
      <c r="O3" s="1637">
        <v>0</v>
      </c>
      <c r="P3" s="1637" t="s">
        <v>3072</v>
      </c>
    </row>
    <row r="4" spans="1:16">
      <c r="A4" s="1637" t="s">
        <v>3073</v>
      </c>
      <c r="B4" s="1637" t="s">
        <v>3065</v>
      </c>
      <c r="C4" s="1637" t="s">
        <v>3066</v>
      </c>
      <c r="D4" s="1637" t="s">
        <v>3067</v>
      </c>
      <c r="E4" s="1637" t="s">
        <v>3073</v>
      </c>
      <c r="F4" s="1637" t="s">
        <v>3068</v>
      </c>
      <c r="G4" s="1637">
        <v>21184</v>
      </c>
      <c r="H4" s="1637">
        <v>33894.400000000001</v>
      </c>
      <c r="I4" s="1637" t="s">
        <v>3074</v>
      </c>
      <c r="J4" s="1637" t="s">
        <v>3075</v>
      </c>
      <c r="K4" s="1637" t="s">
        <v>3076</v>
      </c>
      <c r="L4" s="1637">
        <v>5974</v>
      </c>
      <c r="M4" s="1637">
        <v>1762.52</v>
      </c>
      <c r="N4" s="1637">
        <f t="shared" si="0"/>
        <v>2820</v>
      </c>
      <c r="O4" s="1637">
        <v>0</v>
      </c>
      <c r="P4" s="1637" t="s">
        <v>3072</v>
      </c>
    </row>
    <row r="5" spans="1:16" s="2951" customFormat="1">
      <c r="A5" s="2952" t="s">
        <v>3077</v>
      </c>
      <c r="B5" s="2952" t="s">
        <v>3065</v>
      </c>
      <c r="C5" s="2952" t="s">
        <v>3066</v>
      </c>
      <c r="D5" s="2952" t="s">
        <v>3067</v>
      </c>
      <c r="E5" s="2952" t="s">
        <v>3242</v>
      </c>
      <c r="F5" s="2952" t="s">
        <v>3068</v>
      </c>
      <c r="G5" s="2952">
        <v>4265</v>
      </c>
      <c r="H5" s="2952">
        <v>5118</v>
      </c>
      <c r="I5" s="2952" t="s">
        <v>3078</v>
      </c>
      <c r="J5" s="2952" t="s">
        <v>3075</v>
      </c>
      <c r="K5" s="2952" t="s">
        <v>3079</v>
      </c>
      <c r="L5" s="2952">
        <v>512</v>
      </c>
      <c r="M5" s="2952">
        <v>1000.38</v>
      </c>
      <c r="N5" s="2952">
        <f t="shared" si="0"/>
        <v>1200</v>
      </c>
      <c r="O5" s="2952">
        <v>0</v>
      </c>
      <c r="P5" s="2952" t="s">
        <v>3072</v>
      </c>
    </row>
    <row r="6" spans="1:16" s="2950" customFormat="1">
      <c r="A6" s="1637" t="s">
        <v>3087</v>
      </c>
      <c r="B6" s="1637" t="s">
        <v>3065</v>
      </c>
      <c r="C6" s="1637" t="s">
        <v>3066</v>
      </c>
      <c r="D6" s="1637" t="s">
        <v>3067</v>
      </c>
      <c r="E6" s="1637" t="s">
        <v>3087</v>
      </c>
      <c r="F6" s="1637" t="s">
        <v>3068</v>
      </c>
      <c r="G6" s="1637">
        <v>2420</v>
      </c>
      <c r="H6" s="1637">
        <v>6050</v>
      </c>
      <c r="I6" s="1637" t="s">
        <v>3088</v>
      </c>
      <c r="J6" s="1637" t="s">
        <v>3085</v>
      </c>
      <c r="K6" s="1637" t="s">
        <v>3089</v>
      </c>
      <c r="L6" s="1637">
        <v>1037</v>
      </c>
      <c r="M6" s="1637">
        <v>1714.04</v>
      </c>
      <c r="N6" s="1637">
        <f t="shared" si="0"/>
        <v>4285</v>
      </c>
      <c r="O6" s="1637">
        <v>0</v>
      </c>
      <c r="P6" s="1637" t="s">
        <v>3072</v>
      </c>
    </row>
    <row r="7" spans="1:16">
      <c r="A7" s="1637" t="s">
        <v>3092</v>
      </c>
      <c r="B7" s="1637" t="s">
        <v>3065</v>
      </c>
      <c r="C7" s="1637" t="s">
        <v>3066</v>
      </c>
      <c r="D7" s="1637" t="s">
        <v>3067</v>
      </c>
      <c r="E7" s="1637" t="s">
        <v>3092</v>
      </c>
      <c r="F7" s="1637" t="s">
        <v>3068</v>
      </c>
      <c r="G7" s="1637">
        <v>12000</v>
      </c>
      <c r="H7" s="1637">
        <v>24000</v>
      </c>
      <c r="I7" s="1637" t="s">
        <v>3093</v>
      </c>
      <c r="J7" s="1637" t="s">
        <v>3085</v>
      </c>
      <c r="K7" s="1637" t="s">
        <v>3094</v>
      </c>
      <c r="L7" s="1637">
        <v>1440</v>
      </c>
      <c r="M7" s="1637">
        <v>600</v>
      </c>
      <c r="N7" s="1637">
        <f t="shared" si="0"/>
        <v>1200</v>
      </c>
      <c r="O7" s="1637">
        <v>0</v>
      </c>
      <c r="P7" s="1637" t="s">
        <v>3072</v>
      </c>
    </row>
    <row r="8" spans="1:16">
      <c r="A8" s="1637" t="s">
        <v>3090</v>
      </c>
      <c r="B8" s="1637" t="s">
        <v>3065</v>
      </c>
      <c r="C8" s="1637" t="s">
        <v>3066</v>
      </c>
      <c r="D8" s="1637" t="s">
        <v>3067</v>
      </c>
      <c r="E8" s="1637" t="s">
        <v>3090</v>
      </c>
      <c r="F8" s="1637" t="s">
        <v>3068</v>
      </c>
      <c r="G8" s="1637">
        <v>24749</v>
      </c>
      <c r="H8" s="1637">
        <v>29698.799999999999</v>
      </c>
      <c r="I8" s="1637" t="s">
        <v>3078</v>
      </c>
      <c r="J8" s="1637" t="s">
        <v>3085</v>
      </c>
      <c r="K8" s="1637" t="s">
        <v>3091</v>
      </c>
      <c r="L8" s="1637">
        <v>1857</v>
      </c>
      <c r="M8" s="1637">
        <v>625.27</v>
      </c>
      <c r="N8" s="1637">
        <f t="shared" si="0"/>
        <v>750</v>
      </c>
      <c r="O8" s="1637">
        <v>0</v>
      </c>
      <c r="P8" s="1637" t="s">
        <v>3072</v>
      </c>
    </row>
    <row r="9" spans="1:16">
      <c r="A9" s="1637" t="s">
        <v>3083</v>
      </c>
      <c r="B9" s="1637" t="s">
        <v>3065</v>
      </c>
      <c r="C9" s="1637" t="s">
        <v>3066</v>
      </c>
      <c r="D9" s="1637" t="s">
        <v>3067</v>
      </c>
      <c r="E9" s="1637" t="s">
        <v>3083</v>
      </c>
      <c r="F9" s="1637" t="s">
        <v>3068</v>
      </c>
      <c r="G9" s="1637">
        <v>2234</v>
      </c>
      <c r="H9" s="1637">
        <v>4468</v>
      </c>
      <c r="I9" s="1637" t="s">
        <v>3084</v>
      </c>
      <c r="J9" s="1637" t="s">
        <v>3085</v>
      </c>
      <c r="K9" s="1637" t="s">
        <v>3086</v>
      </c>
      <c r="L9" s="1637">
        <v>88</v>
      </c>
      <c r="M9" s="1637">
        <v>196.96</v>
      </c>
      <c r="N9" s="1637">
        <f t="shared" si="0"/>
        <v>394</v>
      </c>
      <c r="O9" s="1637">
        <v>0</v>
      </c>
      <c r="P9" s="1637" t="s">
        <v>3072</v>
      </c>
    </row>
    <row r="10" spans="1:16" s="2950" customFormat="1">
      <c r="A10" s="1637" t="s">
        <v>3095</v>
      </c>
      <c r="B10" s="1637" t="s">
        <v>3065</v>
      </c>
      <c r="C10" s="1637" t="s">
        <v>3066</v>
      </c>
      <c r="D10" s="1637" t="s">
        <v>3067</v>
      </c>
      <c r="E10" s="1637" t="s">
        <v>3095</v>
      </c>
      <c r="F10" s="1637" t="s">
        <v>3068</v>
      </c>
      <c r="G10" s="1637">
        <v>7295</v>
      </c>
      <c r="H10" s="1637">
        <v>14590</v>
      </c>
      <c r="I10" s="1637" t="s">
        <v>3093</v>
      </c>
      <c r="J10" s="1637" t="s">
        <v>3096</v>
      </c>
      <c r="K10" s="1637" t="s">
        <v>3097</v>
      </c>
      <c r="L10" s="1637">
        <v>615</v>
      </c>
      <c r="M10" s="1637">
        <v>421.51</v>
      </c>
      <c r="N10" s="1637">
        <f t="shared" si="0"/>
        <v>843</v>
      </c>
      <c r="O10" s="1637">
        <v>0</v>
      </c>
      <c r="P10" s="1637" t="s">
        <v>3072</v>
      </c>
    </row>
    <row r="11" spans="1:16">
      <c r="A11" s="1637" t="s">
        <v>3098</v>
      </c>
      <c r="B11" s="1637" t="s">
        <v>3065</v>
      </c>
      <c r="C11" s="1637" t="s">
        <v>3066</v>
      </c>
      <c r="D11" s="1637" t="s">
        <v>3067</v>
      </c>
      <c r="E11" s="1637" t="s">
        <v>3098</v>
      </c>
      <c r="F11" s="1637" t="s">
        <v>3068</v>
      </c>
      <c r="G11" s="1637">
        <v>6419</v>
      </c>
      <c r="H11" s="1637">
        <v>16047.5</v>
      </c>
      <c r="I11" s="1637" t="s">
        <v>3088</v>
      </c>
      <c r="J11" s="1637" t="s">
        <v>3096</v>
      </c>
      <c r="K11" s="1637" t="s">
        <v>3099</v>
      </c>
      <c r="L11" s="1637">
        <v>296</v>
      </c>
      <c r="M11" s="1637">
        <v>184.44</v>
      </c>
      <c r="N11" s="1637">
        <f t="shared" si="0"/>
        <v>461</v>
      </c>
      <c r="O11" s="1637">
        <v>0</v>
      </c>
      <c r="P11" s="1637" t="s">
        <v>3072</v>
      </c>
    </row>
    <row r="12" spans="1:16">
      <c r="A12" s="1637" t="s">
        <v>3100</v>
      </c>
      <c r="B12" s="1637" t="s">
        <v>3065</v>
      </c>
      <c r="C12" s="1637" t="s">
        <v>3066</v>
      </c>
      <c r="D12" s="1637" t="s">
        <v>3067</v>
      </c>
      <c r="E12" s="1637" t="s">
        <v>3100</v>
      </c>
      <c r="F12" s="1637" t="s">
        <v>3068</v>
      </c>
      <c r="G12" s="1637">
        <v>3518</v>
      </c>
      <c r="H12" s="1637">
        <v>4221.6000000000004</v>
      </c>
      <c r="I12" s="1637" t="s">
        <v>3078</v>
      </c>
      <c r="J12" s="1637" t="s">
        <v>3101</v>
      </c>
      <c r="K12" s="1637" t="s">
        <v>3102</v>
      </c>
      <c r="L12" s="1637">
        <v>259</v>
      </c>
      <c r="M12" s="1637">
        <v>613.5</v>
      </c>
      <c r="N12" s="1637">
        <f t="shared" si="0"/>
        <v>736</v>
      </c>
      <c r="O12" s="1637">
        <v>0</v>
      </c>
      <c r="P12" s="1637" t="s">
        <v>3072</v>
      </c>
    </row>
    <row r="13" spans="1:16">
      <c r="A13" s="1637" t="s">
        <v>3107</v>
      </c>
      <c r="B13" s="1637" t="s">
        <v>3065</v>
      </c>
      <c r="C13" s="1637" t="s">
        <v>3066</v>
      </c>
      <c r="D13" s="1637" t="s">
        <v>3067</v>
      </c>
      <c r="E13" s="1637" t="s">
        <v>3107</v>
      </c>
      <c r="F13" s="1637" t="s">
        <v>3068</v>
      </c>
      <c r="G13" s="1637">
        <v>15987</v>
      </c>
      <c r="H13" s="1637">
        <v>55954.5</v>
      </c>
      <c r="I13" s="1637" t="s">
        <v>3108</v>
      </c>
      <c r="J13" s="1637" t="s">
        <v>3105</v>
      </c>
      <c r="K13" s="1637" t="s">
        <v>3109</v>
      </c>
      <c r="L13" s="1637">
        <v>2157</v>
      </c>
      <c r="M13" s="1637">
        <v>385.49</v>
      </c>
      <c r="N13" s="1637">
        <f t="shared" si="0"/>
        <v>1349</v>
      </c>
      <c r="O13" s="1637">
        <v>0</v>
      </c>
      <c r="P13" s="1637" t="s">
        <v>3072</v>
      </c>
    </row>
    <row r="14" spans="1:16" s="2952" customFormat="1">
      <c r="A14" s="2952" t="s">
        <v>3103</v>
      </c>
      <c r="B14" s="2952" t="s">
        <v>3065</v>
      </c>
      <c r="C14" s="2952" t="s">
        <v>3066</v>
      </c>
      <c r="D14" s="2952" t="s">
        <v>3067</v>
      </c>
      <c r="E14" s="2952" t="s">
        <v>3103</v>
      </c>
      <c r="F14" s="2952" t="s">
        <v>3068</v>
      </c>
      <c r="G14" s="2952">
        <v>60105</v>
      </c>
      <c r="H14" s="2952">
        <v>66115.5</v>
      </c>
      <c r="I14" s="2952" t="s">
        <v>3104</v>
      </c>
      <c r="J14" s="2952" t="s">
        <v>3105</v>
      </c>
      <c r="K14" s="2952" t="s">
        <v>3106</v>
      </c>
      <c r="L14" s="2952">
        <v>6318</v>
      </c>
      <c r="M14" s="2952">
        <v>955.6</v>
      </c>
      <c r="N14" s="2952">
        <f t="shared" si="0"/>
        <v>1051</v>
      </c>
      <c r="O14" s="2952">
        <v>0</v>
      </c>
      <c r="P14" s="2952" t="s">
        <v>3072</v>
      </c>
    </row>
    <row r="15" spans="1:16" s="2953" customFormat="1">
      <c r="A15" s="1637" t="s">
        <v>3110</v>
      </c>
      <c r="B15" s="1637" t="s">
        <v>3065</v>
      </c>
      <c r="C15" s="1637" t="s">
        <v>3066</v>
      </c>
      <c r="D15" s="1637" t="s">
        <v>3067</v>
      </c>
      <c r="E15" s="1637" t="s">
        <v>3110</v>
      </c>
      <c r="F15" s="1637" t="s">
        <v>3068</v>
      </c>
      <c r="G15" s="1637">
        <v>192335</v>
      </c>
      <c r="H15" s="1637">
        <v>173101.5</v>
      </c>
      <c r="I15" s="1637" t="s">
        <v>3111</v>
      </c>
      <c r="J15" s="1637" t="s">
        <v>3105</v>
      </c>
      <c r="K15" s="1637" t="s">
        <v>3112</v>
      </c>
      <c r="L15" s="1637">
        <v>10964</v>
      </c>
      <c r="M15" s="1637">
        <v>633.38</v>
      </c>
      <c r="N15" s="1637">
        <f t="shared" si="0"/>
        <v>570</v>
      </c>
      <c r="O15" s="1637">
        <v>0</v>
      </c>
      <c r="P15" s="1637" t="s">
        <v>3072</v>
      </c>
    </row>
    <row r="16" spans="1:16">
      <c r="A16" s="1637" t="s">
        <v>3116</v>
      </c>
      <c r="B16" s="1637" t="s">
        <v>3065</v>
      </c>
      <c r="C16" s="1637" t="s">
        <v>3066</v>
      </c>
      <c r="D16" s="1637" t="s">
        <v>3067</v>
      </c>
      <c r="E16" s="1637" t="s">
        <v>3116</v>
      </c>
      <c r="F16" s="1637" t="s">
        <v>3068</v>
      </c>
      <c r="G16" s="1637">
        <v>2030</v>
      </c>
      <c r="H16" s="1637">
        <v>5075</v>
      </c>
      <c r="I16" s="1637" t="s">
        <v>3117</v>
      </c>
      <c r="J16" s="1637" t="s">
        <v>3114</v>
      </c>
      <c r="K16" s="1637" t="s">
        <v>3118</v>
      </c>
      <c r="L16" s="1637">
        <v>138</v>
      </c>
      <c r="M16" s="1637">
        <v>271.92</v>
      </c>
      <c r="N16" s="1637">
        <f t="shared" si="0"/>
        <v>680</v>
      </c>
      <c r="O16" s="1637">
        <v>0</v>
      </c>
      <c r="P16" s="1637" t="s">
        <v>3072</v>
      </c>
    </row>
    <row r="17" spans="1:16">
      <c r="A17" s="1637" t="s">
        <v>3113</v>
      </c>
      <c r="B17" s="1637" t="s">
        <v>3065</v>
      </c>
      <c r="C17" s="1637" t="s">
        <v>3066</v>
      </c>
      <c r="D17" s="1637" t="s">
        <v>3067</v>
      </c>
      <c r="E17" s="1637" t="s">
        <v>3113</v>
      </c>
      <c r="F17" s="1637" t="s">
        <v>3068</v>
      </c>
      <c r="G17" s="1637">
        <v>18767</v>
      </c>
      <c r="H17" s="1637">
        <v>65684.5</v>
      </c>
      <c r="I17" s="1637" t="s">
        <v>3108</v>
      </c>
      <c r="J17" s="1637" t="s">
        <v>3114</v>
      </c>
      <c r="K17" s="1637" t="s">
        <v>3115</v>
      </c>
      <c r="L17" s="1637">
        <v>1218</v>
      </c>
      <c r="M17" s="1637">
        <v>185.43</v>
      </c>
      <c r="N17" s="1637">
        <f t="shared" si="0"/>
        <v>649</v>
      </c>
      <c r="O17" s="1637">
        <v>0</v>
      </c>
      <c r="P17" s="1637" t="s">
        <v>3072</v>
      </c>
    </row>
    <row r="18" spans="1:16" s="2951" customFormat="1">
      <c r="A18" s="2950" t="s">
        <v>3119</v>
      </c>
      <c r="B18" s="2950" t="s">
        <v>3065</v>
      </c>
      <c r="C18" s="2950" t="s">
        <v>3066</v>
      </c>
      <c r="D18" s="2950" t="s">
        <v>3067</v>
      </c>
      <c r="E18" s="2950" t="s">
        <v>3119</v>
      </c>
      <c r="F18" s="2950" t="s">
        <v>3068</v>
      </c>
      <c r="G18" s="2950">
        <v>102565</v>
      </c>
      <c r="H18" s="2950">
        <v>153847.5</v>
      </c>
      <c r="I18" s="2950" t="s">
        <v>3120</v>
      </c>
      <c r="J18" s="2950" t="s">
        <v>3121</v>
      </c>
      <c r="K18" s="2950" t="s">
        <v>3122</v>
      </c>
      <c r="L18" s="2950">
        <v>10575</v>
      </c>
      <c r="M18" s="2950">
        <v>687.37</v>
      </c>
      <c r="N18" s="2950">
        <f t="shared" si="0"/>
        <v>1031</v>
      </c>
      <c r="O18" s="2950">
        <v>0</v>
      </c>
      <c r="P18" s="2950" t="s">
        <v>3072</v>
      </c>
    </row>
    <row r="19" spans="1:16" s="2950" customFormat="1">
      <c r="A19" s="1637" t="s">
        <v>3123</v>
      </c>
      <c r="B19" s="1637" t="s">
        <v>3065</v>
      </c>
      <c r="C19" s="1637" t="s">
        <v>3066</v>
      </c>
      <c r="D19" s="1637" t="s">
        <v>3067</v>
      </c>
      <c r="E19" s="1637" t="s">
        <v>3123</v>
      </c>
      <c r="F19" s="1637" t="s">
        <v>3068</v>
      </c>
      <c r="G19" s="1637">
        <v>30610</v>
      </c>
      <c r="H19" s="1637">
        <v>61220</v>
      </c>
      <c r="I19" s="1637" t="s">
        <v>3084</v>
      </c>
      <c r="J19" s="1637" t="s">
        <v>3124</v>
      </c>
      <c r="K19" s="1637" t="s">
        <v>3125</v>
      </c>
      <c r="L19" s="1637">
        <v>3132</v>
      </c>
      <c r="M19" s="1637">
        <v>511.6</v>
      </c>
      <c r="N19" s="1637">
        <f t="shared" si="0"/>
        <v>1023</v>
      </c>
      <c r="O19" s="1637">
        <v>0</v>
      </c>
      <c r="P19" s="1637" t="s">
        <v>3072</v>
      </c>
    </row>
    <row r="20" spans="1:16" s="2950" customFormat="1">
      <c r="A20" s="1637" t="s">
        <v>3126</v>
      </c>
      <c r="B20" s="1637" t="s">
        <v>3065</v>
      </c>
      <c r="C20" s="1637" t="s">
        <v>3066</v>
      </c>
      <c r="D20" s="1637" t="s">
        <v>3067</v>
      </c>
      <c r="E20" s="1637" t="s">
        <v>3126</v>
      </c>
      <c r="F20" s="1637" t="s">
        <v>3068</v>
      </c>
      <c r="G20" s="1637">
        <v>25747</v>
      </c>
      <c r="H20" s="1637">
        <v>64367.5</v>
      </c>
      <c r="I20" s="1637" t="s">
        <v>3088</v>
      </c>
      <c r="J20" s="1637" t="s">
        <v>3127</v>
      </c>
      <c r="K20" s="1637" t="s">
        <v>3128</v>
      </c>
      <c r="L20" s="1637">
        <v>3263</v>
      </c>
      <c r="M20" s="1637">
        <v>506.93</v>
      </c>
      <c r="N20" s="1637">
        <f t="shared" si="0"/>
        <v>1267</v>
      </c>
      <c r="O20" s="1637">
        <v>0</v>
      </c>
      <c r="P20" s="1637" t="s">
        <v>3072</v>
      </c>
    </row>
    <row r="21" spans="1:16">
      <c r="A21" s="1637" t="s">
        <v>3132</v>
      </c>
      <c r="B21" s="1637" t="s">
        <v>3065</v>
      </c>
      <c r="C21" s="1637" t="s">
        <v>3066</v>
      </c>
      <c r="D21" s="1637" t="s">
        <v>3067</v>
      </c>
      <c r="E21" s="1637" t="s">
        <v>3132</v>
      </c>
      <c r="F21" s="1637" t="s">
        <v>3068</v>
      </c>
      <c r="G21" s="1637">
        <v>18991</v>
      </c>
      <c r="H21" s="1637">
        <v>47477.5</v>
      </c>
      <c r="I21" s="1637" t="s">
        <v>3088</v>
      </c>
      <c r="J21" s="1637" t="s">
        <v>3127</v>
      </c>
      <c r="K21" s="1637" t="s">
        <v>3128</v>
      </c>
      <c r="L21" s="1637">
        <v>2407</v>
      </c>
      <c r="M21" s="1637">
        <v>506.98</v>
      </c>
      <c r="N21" s="1637">
        <f t="shared" si="0"/>
        <v>1267</v>
      </c>
      <c r="O21" s="1637">
        <v>0</v>
      </c>
      <c r="P21" s="1637" t="s">
        <v>3072</v>
      </c>
    </row>
    <row r="22" spans="1:16">
      <c r="A22" s="1637" t="s">
        <v>3133</v>
      </c>
      <c r="B22" s="1637" t="s">
        <v>3065</v>
      </c>
      <c r="C22" s="1637" t="s">
        <v>3066</v>
      </c>
      <c r="D22" s="1637" t="s">
        <v>3067</v>
      </c>
      <c r="E22" s="1637" t="s">
        <v>3133</v>
      </c>
      <c r="F22" s="1637" t="s">
        <v>3068</v>
      </c>
      <c r="G22" s="1637">
        <v>28205</v>
      </c>
      <c r="H22" s="1637">
        <v>70512.5</v>
      </c>
      <c r="I22" s="1637" t="s">
        <v>3088</v>
      </c>
      <c r="J22" s="1637" t="s">
        <v>3127</v>
      </c>
      <c r="K22" s="1637" t="s">
        <v>3128</v>
      </c>
      <c r="L22" s="1637">
        <v>3574</v>
      </c>
      <c r="M22" s="1637">
        <v>506.86</v>
      </c>
      <c r="N22" s="1637">
        <f t="shared" si="0"/>
        <v>1267</v>
      </c>
      <c r="O22" s="1637">
        <v>0</v>
      </c>
      <c r="P22" s="1637" t="s">
        <v>3072</v>
      </c>
    </row>
    <row r="23" spans="1:16">
      <c r="A23" s="1637" t="s">
        <v>3129</v>
      </c>
      <c r="B23" s="1637" t="s">
        <v>3065</v>
      </c>
      <c r="C23" s="1637" t="s">
        <v>3066</v>
      </c>
      <c r="D23" s="1637" t="s">
        <v>3067</v>
      </c>
      <c r="E23" s="1637" t="s">
        <v>3129</v>
      </c>
      <c r="F23" s="1637" t="s">
        <v>3068</v>
      </c>
      <c r="G23" s="1637">
        <v>866</v>
      </c>
      <c r="H23" s="1637">
        <v>1299</v>
      </c>
      <c r="I23" s="1637" t="s">
        <v>3130</v>
      </c>
      <c r="J23" s="1637" t="s">
        <v>3127</v>
      </c>
      <c r="K23" s="1637" t="s">
        <v>3131</v>
      </c>
      <c r="L23" s="1637">
        <v>47</v>
      </c>
      <c r="M23" s="1637">
        <v>361.81</v>
      </c>
      <c r="N23" s="1637">
        <f t="shared" si="0"/>
        <v>543</v>
      </c>
      <c r="O23" s="1637">
        <v>0</v>
      </c>
      <c r="P23" s="1637" t="s">
        <v>3072</v>
      </c>
    </row>
    <row r="24" spans="1:16">
      <c r="A24" s="1637" t="s">
        <v>3134</v>
      </c>
      <c r="B24" s="1637" t="s">
        <v>3065</v>
      </c>
      <c r="C24" s="1637" t="s">
        <v>3066</v>
      </c>
      <c r="D24" s="1637" t="s">
        <v>3067</v>
      </c>
      <c r="E24" s="1637" t="s">
        <v>3134</v>
      </c>
      <c r="F24" s="1637" t="s">
        <v>3068</v>
      </c>
      <c r="G24" s="1637">
        <v>3738</v>
      </c>
      <c r="H24" s="1637">
        <v>4485.6000000000004</v>
      </c>
      <c r="I24" s="1637" t="s">
        <v>3078</v>
      </c>
      <c r="J24" s="1637" t="s">
        <v>3135</v>
      </c>
      <c r="K24" s="1637" t="s">
        <v>3136</v>
      </c>
      <c r="L24" s="1637">
        <v>292</v>
      </c>
      <c r="M24" s="1637">
        <v>650.97</v>
      </c>
      <c r="N24" s="1637">
        <f t="shared" si="0"/>
        <v>781</v>
      </c>
      <c r="O24" s="1637">
        <v>0</v>
      </c>
      <c r="P24" s="1637" t="s">
        <v>3072</v>
      </c>
    </row>
    <row r="25" spans="1:16">
      <c r="A25" s="1637" t="s">
        <v>3140</v>
      </c>
      <c r="B25" s="1637" t="s">
        <v>3065</v>
      </c>
      <c r="C25" s="1637" t="s">
        <v>3066</v>
      </c>
      <c r="D25" s="1637" t="s">
        <v>3067</v>
      </c>
      <c r="E25" s="1637" t="s">
        <v>3140</v>
      </c>
      <c r="F25" s="1637" t="s">
        <v>3068</v>
      </c>
      <c r="G25" s="1637">
        <v>31678</v>
      </c>
      <c r="H25" s="1637">
        <v>31678</v>
      </c>
      <c r="I25" s="1637" t="s">
        <v>3141</v>
      </c>
      <c r="J25" s="1637" t="s">
        <v>3138</v>
      </c>
      <c r="K25" s="1637" t="s">
        <v>3142</v>
      </c>
      <c r="L25" s="1637">
        <v>2855</v>
      </c>
      <c r="M25" s="1637">
        <v>901.25</v>
      </c>
      <c r="N25" s="1637">
        <f t="shared" si="0"/>
        <v>901</v>
      </c>
      <c r="O25" s="1637">
        <v>0</v>
      </c>
      <c r="P25" s="1637" t="s">
        <v>3072</v>
      </c>
    </row>
    <row r="26" spans="1:16">
      <c r="A26" s="1637" t="s">
        <v>3143</v>
      </c>
      <c r="B26" s="1637" t="s">
        <v>3065</v>
      </c>
      <c r="C26" s="1637" t="s">
        <v>3066</v>
      </c>
      <c r="D26" s="1637" t="s">
        <v>3067</v>
      </c>
      <c r="E26" s="1637" t="s">
        <v>3143</v>
      </c>
      <c r="F26" s="1637" t="s">
        <v>3068</v>
      </c>
      <c r="G26" s="1637">
        <v>27744</v>
      </c>
      <c r="H26" s="1637">
        <v>55488</v>
      </c>
      <c r="I26" s="1637" t="s">
        <v>3084</v>
      </c>
      <c r="J26" s="1637" t="s">
        <v>3138</v>
      </c>
      <c r="K26" s="1637" t="s">
        <v>3144</v>
      </c>
      <c r="L26" s="1637">
        <v>1765</v>
      </c>
      <c r="M26" s="1637">
        <v>318.08</v>
      </c>
      <c r="N26" s="1637">
        <f t="shared" si="0"/>
        <v>636</v>
      </c>
      <c r="O26" s="1637">
        <v>0</v>
      </c>
      <c r="P26" s="1637" t="s">
        <v>3072</v>
      </c>
    </row>
    <row r="27" spans="1:16">
      <c r="A27" s="1637" t="s">
        <v>3137</v>
      </c>
      <c r="B27" s="1637" t="s">
        <v>3065</v>
      </c>
      <c r="C27" s="1637" t="s">
        <v>3066</v>
      </c>
      <c r="D27" s="1637" t="s">
        <v>3067</v>
      </c>
      <c r="E27" s="1637" t="s">
        <v>3137</v>
      </c>
      <c r="F27" s="1637" t="s">
        <v>3068</v>
      </c>
      <c r="G27" s="1637">
        <v>26257</v>
      </c>
      <c r="H27" s="1637">
        <v>31508.400000000001</v>
      </c>
      <c r="I27" s="1637" t="s">
        <v>3078</v>
      </c>
      <c r="J27" s="1637" t="s">
        <v>3138</v>
      </c>
      <c r="K27" s="1637" t="s">
        <v>3139</v>
      </c>
      <c r="L27" s="1637">
        <v>1523</v>
      </c>
      <c r="M27" s="1637">
        <v>483.36</v>
      </c>
      <c r="N27" s="1637">
        <f t="shared" si="0"/>
        <v>580</v>
      </c>
      <c r="O27" s="1637">
        <v>0</v>
      </c>
      <c r="P27" s="1637" t="s">
        <v>3072</v>
      </c>
    </row>
    <row r="28" spans="1:16">
      <c r="A28" s="1637" t="s">
        <v>3145</v>
      </c>
      <c r="B28" s="1637" t="s">
        <v>3065</v>
      </c>
      <c r="C28" s="1637" t="s">
        <v>3066</v>
      </c>
      <c r="D28" s="1637" t="s">
        <v>3067</v>
      </c>
      <c r="E28" s="1637" t="s">
        <v>3145</v>
      </c>
      <c r="F28" s="1637" t="s">
        <v>3068</v>
      </c>
      <c r="G28" s="1637">
        <v>10637</v>
      </c>
      <c r="H28" s="1637">
        <v>13828.1</v>
      </c>
      <c r="I28" s="1637" t="s">
        <v>3146</v>
      </c>
      <c r="J28" s="1637" t="s">
        <v>3147</v>
      </c>
      <c r="K28" s="1637" t="s">
        <v>3148</v>
      </c>
      <c r="L28" s="1637">
        <v>565</v>
      </c>
      <c r="M28" s="1637">
        <v>408.58</v>
      </c>
      <c r="N28" s="1637">
        <f t="shared" si="0"/>
        <v>531</v>
      </c>
      <c r="O28" s="1637">
        <v>0</v>
      </c>
      <c r="P28" s="1637" t="s">
        <v>3072</v>
      </c>
    </row>
    <row r="29" spans="1:16">
      <c r="A29" s="1637" t="s">
        <v>3153</v>
      </c>
      <c r="B29" s="1637" t="s">
        <v>3065</v>
      </c>
      <c r="C29" s="1637" t="s">
        <v>3066</v>
      </c>
      <c r="D29" s="1637" t="s">
        <v>3067</v>
      </c>
      <c r="E29" s="1637" t="s">
        <v>3153</v>
      </c>
      <c r="F29" s="1637" t="s">
        <v>3068</v>
      </c>
      <c r="G29" s="1637">
        <v>7315</v>
      </c>
      <c r="H29" s="1637">
        <v>35112</v>
      </c>
      <c r="I29" s="1637" t="s">
        <v>3154</v>
      </c>
      <c r="J29" s="1637" t="s">
        <v>3151</v>
      </c>
      <c r="K29" s="1637" t="s">
        <v>3152</v>
      </c>
      <c r="L29" s="1637">
        <v>997</v>
      </c>
      <c r="M29" s="1637">
        <v>283.94</v>
      </c>
      <c r="N29" s="1637">
        <f t="shared" si="0"/>
        <v>1363</v>
      </c>
      <c r="O29" s="1637">
        <v>0</v>
      </c>
      <c r="P29" s="1637" t="s">
        <v>3072</v>
      </c>
    </row>
    <row r="30" spans="1:16">
      <c r="A30" s="1637" t="s">
        <v>3149</v>
      </c>
      <c r="B30" s="1637" t="s">
        <v>3065</v>
      </c>
      <c r="C30" s="1637" t="s">
        <v>3066</v>
      </c>
      <c r="D30" s="1637" t="s">
        <v>3067</v>
      </c>
      <c r="E30" s="1637" t="s">
        <v>3149</v>
      </c>
      <c r="F30" s="1637" t="s">
        <v>3068</v>
      </c>
      <c r="G30" s="1637">
        <v>22936</v>
      </c>
      <c r="H30" s="1637">
        <v>45872</v>
      </c>
      <c r="I30" s="1637" t="s">
        <v>3150</v>
      </c>
      <c r="J30" s="1637" t="s">
        <v>3151</v>
      </c>
      <c r="K30" s="1637" t="s">
        <v>3152</v>
      </c>
      <c r="L30" s="1637">
        <v>2652</v>
      </c>
      <c r="M30" s="1637">
        <v>578.12</v>
      </c>
      <c r="N30" s="1637">
        <f t="shared" si="0"/>
        <v>1156</v>
      </c>
      <c r="O30" s="1637">
        <v>0</v>
      </c>
      <c r="P30" s="1637" t="s">
        <v>3072</v>
      </c>
    </row>
    <row r="31" spans="1:16">
      <c r="A31" s="1637" t="s">
        <v>3155</v>
      </c>
      <c r="B31" s="1637" t="s">
        <v>3065</v>
      </c>
      <c r="C31" s="1637" t="s">
        <v>3066</v>
      </c>
      <c r="D31" s="1637" t="s">
        <v>3067</v>
      </c>
      <c r="E31" s="1637" t="s">
        <v>3155</v>
      </c>
      <c r="F31" s="1637" t="s">
        <v>3068</v>
      </c>
      <c r="G31" s="1637">
        <v>819</v>
      </c>
      <c r="H31" s="1637">
        <v>1638</v>
      </c>
      <c r="I31" s="1637" t="s">
        <v>3084</v>
      </c>
      <c r="J31" s="1637" t="s">
        <v>3156</v>
      </c>
      <c r="K31" s="1637" t="s">
        <v>3157</v>
      </c>
      <c r="L31" s="1637">
        <v>44</v>
      </c>
      <c r="M31" s="1637">
        <v>268.62</v>
      </c>
      <c r="N31" s="1637">
        <f t="shared" si="0"/>
        <v>537</v>
      </c>
      <c r="O31" s="1637">
        <v>0</v>
      </c>
      <c r="P31" s="1637" t="s">
        <v>3072</v>
      </c>
    </row>
    <row r="32" spans="1:16">
      <c r="A32" s="1637" t="s">
        <v>3158</v>
      </c>
      <c r="B32" s="1637" t="s">
        <v>3065</v>
      </c>
      <c r="C32" s="1637" t="s">
        <v>3066</v>
      </c>
      <c r="D32" s="1637" t="s">
        <v>3067</v>
      </c>
      <c r="E32" s="1637" t="s">
        <v>3158</v>
      </c>
      <c r="F32" s="1637" t="s">
        <v>3068</v>
      </c>
      <c r="G32" s="1637">
        <v>52145</v>
      </c>
      <c r="H32" s="1637">
        <v>208580</v>
      </c>
      <c r="I32" s="1637" t="s">
        <v>3159</v>
      </c>
      <c r="J32" s="1637" t="s">
        <v>3160</v>
      </c>
      <c r="K32" s="1637" t="s">
        <v>3161</v>
      </c>
      <c r="L32" s="1637">
        <v>4667</v>
      </c>
      <c r="M32" s="1637">
        <v>223.75</v>
      </c>
      <c r="N32" s="1637">
        <f t="shared" si="0"/>
        <v>895</v>
      </c>
      <c r="O32" s="1637">
        <v>0</v>
      </c>
      <c r="P32" s="1637" t="s">
        <v>3072</v>
      </c>
    </row>
    <row r="33" spans="1:16">
      <c r="A33" s="1637" t="s">
        <v>3162</v>
      </c>
      <c r="B33" s="1637" t="s">
        <v>3065</v>
      </c>
      <c r="C33" s="1637" t="s">
        <v>3066</v>
      </c>
      <c r="D33" s="1637" t="s">
        <v>3067</v>
      </c>
      <c r="E33" s="1637" t="s">
        <v>3162</v>
      </c>
      <c r="F33" s="1637" t="s">
        <v>3068</v>
      </c>
      <c r="G33" s="1637">
        <v>174300</v>
      </c>
      <c r="H33" s="1637">
        <v>697200</v>
      </c>
      <c r="I33" s="1637" t="s">
        <v>3159</v>
      </c>
      <c r="J33" s="1637" t="s">
        <v>3160</v>
      </c>
      <c r="K33" s="1637" t="s">
        <v>3161</v>
      </c>
      <c r="L33" s="1637">
        <v>15600</v>
      </c>
      <c r="M33" s="1637">
        <v>223.75</v>
      </c>
      <c r="N33" s="1637">
        <f t="shared" si="0"/>
        <v>895</v>
      </c>
      <c r="O33" s="1637">
        <v>0</v>
      </c>
      <c r="P33" s="1637" t="s">
        <v>3072</v>
      </c>
    </row>
    <row r="34" spans="1:16">
      <c r="A34" s="1637" t="s">
        <v>3163</v>
      </c>
      <c r="B34" s="1637" t="s">
        <v>3065</v>
      </c>
      <c r="C34" s="1637" t="s">
        <v>3066</v>
      </c>
      <c r="D34" s="1637" t="s">
        <v>3067</v>
      </c>
      <c r="E34" s="1637" t="s">
        <v>3163</v>
      </c>
      <c r="F34" s="1637" t="s">
        <v>3068</v>
      </c>
      <c r="G34" s="1637">
        <v>79849</v>
      </c>
      <c r="H34" s="1637">
        <v>319396</v>
      </c>
      <c r="I34" s="1637" t="s">
        <v>3159</v>
      </c>
      <c r="J34" s="1637" t="s">
        <v>3164</v>
      </c>
      <c r="K34" s="1637" t="s">
        <v>3165</v>
      </c>
      <c r="L34" s="1637">
        <v>7147</v>
      </c>
      <c r="M34" s="1637">
        <v>223.77</v>
      </c>
      <c r="N34" s="1637">
        <f t="shared" ref="N34:N57" si="1">ROUND(L34/G34*10000,0)</f>
        <v>895</v>
      </c>
      <c r="O34" s="1637">
        <v>0</v>
      </c>
      <c r="P34" s="1637" t="s">
        <v>3072</v>
      </c>
    </row>
    <row r="35" spans="1:16">
      <c r="A35" s="1637" t="s">
        <v>3166</v>
      </c>
      <c r="B35" s="1637" t="s">
        <v>3065</v>
      </c>
      <c r="C35" s="1637" t="s">
        <v>3066</v>
      </c>
      <c r="D35" s="1637" t="s">
        <v>3067</v>
      </c>
      <c r="E35" s="1637" t="s">
        <v>3166</v>
      </c>
      <c r="F35" s="1637" t="s">
        <v>3068</v>
      </c>
      <c r="G35" s="1637">
        <v>81190</v>
      </c>
      <c r="H35" s="1637">
        <v>324760</v>
      </c>
      <c r="I35" s="1637" t="s">
        <v>3159</v>
      </c>
      <c r="J35" s="1637" t="s">
        <v>3164</v>
      </c>
      <c r="K35" s="1637" t="s">
        <v>3165</v>
      </c>
      <c r="L35" s="1637">
        <v>7267</v>
      </c>
      <c r="M35" s="1637">
        <v>223.77</v>
      </c>
      <c r="N35" s="1637">
        <f t="shared" si="1"/>
        <v>895</v>
      </c>
      <c r="O35" s="1637">
        <v>0</v>
      </c>
      <c r="P35" s="1637" t="s">
        <v>3072</v>
      </c>
    </row>
    <row r="36" spans="1:16">
      <c r="A36" s="1637" t="s">
        <v>3170</v>
      </c>
      <c r="B36" s="1637" t="s">
        <v>3065</v>
      </c>
      <c r="C36" s="1637" t="s">
        <v>3066</v>
      </c>
      <c r="D36" s="1637" t="s">
        <v>3067</v>
      </c>
      <c r="E36" s="1637" t="s">
        <v>3170</v>
      </c>
      <c r="F36" s="1637" t="s">
        <v>3068</v>
      </c>
      <c r="G36" s="1637">
        <v>6666</v>
      </c>
      <c r="H36" s="1637">
        <v>13332</v>
      </c>
      <c r="I36" s="1637" t="s">
        <v>3084</v>
      </c>
      <c r="J36" s="1637" t="s">
        <v>3168</v>
      </c>
      <c r="K36" s="1637" t="s">
        <v>3169</v>
      </c>
      <c r="L36" s="1637">
        <v>307</v>
      </c>
      <c r="M36" s="1637">
        <v>230.27</v>
      </c>
      <c r="N36" s="1637">
        <f t="shared" si="1"/>
        <v>461</v>
      </c>
      <c r="O36" s="1637">
        <v>0</v>
      </c>
      <c r="P36" s="1637" t="s">
        <v>3072</v>
      </c>
    </row>
    <row r="37" spans="1:16">
      <c r="A37" s="1637" t="s">
        <v>3167</v>
      </c>
      <c r="B37" s="1637" t="s">
        <v>3065</v>
      </c>
      <c r="C37" s="1637" t="s">
        <v>3066</v>
      </c>
      <c r="D37" s="1637" t="s">
        <v>3067</v>
      </c>
      <c r="E37" s="1637" t="s">
        <v>3167</v>
      </c>
      <c r="F37" s="1637" t="s">
        <v>3068</v>
      </c>
      <c r="G37" s="1637">
        <v>5236</v>
      </c>
      <c r="H37" s="1637">
        <v>10472</v>
      </c>
      <c r="I37" s="1637" t="s">
        <v>3084</v>
      </c>
      <c r="J37" s="1637" t="s">
        <v>3168</v>
      </c>
      <c r="K37" s="1637" t="s">
        <v>3169</v>
      </c>
      <c r="L37" s="1637">
        <v>241</v>
      </c>
      <c r="M37" s="1637">
        <v>230.13</v>
      </c>
      <c r="N37" s="1637">
        <f t="shared" si="1"/>
        <v>460</v>
      </c>
      <c r="O37" s="1637">
        <v>0</v>
      </c>
      <c r="P37" s="1637" t="s">
        <v>3072</v>
      </c>
    </row>
    <row r="38" spans="1:16">
      <c r="A38" s="1637" t="s">
        <v>3171</v>
      </c>
      <c r="B38" s="1637" t="s">
        <v>3065</v>
      </c>
      <c r="C38" s="1637" t="s">
        <v>3066</v>
      </c>
      <c r="D38" s="1637" t="s">
        <v>3067</v>
      </c>
      <c r="E38" s="1637" t="s">
        <v>3171</v>
      </c>
      <c r="F38" s="1637" t="s">
        <v>3068</v>
      </c>
      <c r="G38" s="1637">
        <v>7401</v>
      </c>
      <c r="H38" s="1637">
        <v>11101.5</v>
      </c>
      <c r="I38" s="1637" t="s">
        <v>3130</v>
      </c>
      <c r="J38" s="1637" t="s">
        <v>3172</v>
      </c>
      <c r="K38" s="1637" t="s">
        <v>3173</v>
      </c>
      <c r="L38" s="1637">
        <v>526</v>
      </c>
      <c r="M38" s="1637">
        <v>473.81</v>
      </c>
      <c r="N38" s="1637">
        <f t="shared" si="1"/>
        <v>711</v>
      </c>
      <c r="O38" s="1637">
        <v>0</v>
      </c>
      <c r="P38" s="1637" t="s">
        <v>3072</v>
      </c>
    </row>
    <row r="39" spans="1:16">
      <c r="A39" s="1637" t="s">
        <v>3174</v>
      </c>
      <c r="B39" s="1637" t="s">
        <v>3065</v>
      </c>
      <c r="C39" s="1637" t="s">
        <v>3066</v>
      </c>
      <c r="D39" s="1637" t="s">
        <v>3067</v>
      </c>
      <c r="E39" s="1637" t="s">
        <v>3174</v>
      </c>
      <c r="F39" s="1637" t="s">
        <v>3068</v>
      </c>
      <c r="G39" s="1637">
        <v>13142</v>
      </c>
      <c r="H39" s="1637">
        <v>15770.4</v>
      </c>
      <c r="I39" s="1637" t="s">
        <v>3078</v>
      </c>
      <c r="J39" s="1637" t="s">
        <v>3172</v>
      </c>
      <c r="K39" s="1637" t="s">
        <v>3128</v>
      </c>
      <c r="L39" s="1637">
        <v>871</v>
      </c>
      <c r="M39" s="1637">
        <v>552.29</v>
      </c>
      <c r="N39" s="1637">
        <f t="shared" si="1"/>
        <v>663</v>
      </c>
      <c r="O39" s="1637">
        <v>0</v>
      </c>
      <c r="P39" s="1637" t="s">
        <v>3072</v>
      </c>
    </row>
    <row r="40" spans="1:16">
      <c r="A40" s="1637" t="s">
        <v>3175</v>
      </c>
      <c r="B40" s="1637" t="s">
        <v>3065</v>
      </c>
      <c r="C40" s="1637" t="s">
        <v>3066</v>
      </c>
      <c r="D40" s="1637" t="s">
        <v>3067</v>
      </c>
      <c r="E40" s="1637" t="s">
        <v>3175</v>
      </c>
      <c r="F40" s="1637" t="s">
        <v>3068</v>
      </c>
      <c r="G40" s="1637">
        <v>3087</v>
      </c>
      <c r="H40" s="1637">
        <v>6174</v>
      </c>
      <c r="I40" s="1637" t="s">
        <v>3084</v>
      </c>
      <c r="J40" s="1637" t="s">
        <v>3176</v>
      </c>
      <c r="K40" s="1637" t="s">
        <v>3177</v>
      </c>
      <c r="L40" s="1637">
        <v>186</v>
      </c>
      <c r="M40" s="1637">
        <v>301.25</v>
      </c>
      <c r="N40" s="1637">
        <f t="shared" si="1"/>
        <v>603</v>
      </c>
      <c r="O40" s="1637">
        <v>0</v>
      </c>
      <c r="P40" s="1637" t="s">
        <v>3072</v>
      </c>
    </row>
    <row r="41" spans="1:16">
      <c r="A41" s="1637" t="s">
        <v>3181</v>
      </c>
      <c r="B41" s="1637" t="s">
        <v>3065</v>
      </c>
      <c r="C41" s="1637" t="s">
        <v>3066</v>
      </c>
      <c r="D41" s="1637" t="s">
        <v>3067</v>
      </c>
      <c r="E41" s="1637" t="s">
        <v>3181</v>
      </c>
      <c r="F41" s="1637" t="s">
        <v>3068</v>
      </c>
      <c r="G41" s="1637">
        <v>28318</v>
      </c>
      <c r="H41" s="1637">
        <v>28318</v>
      </c>
      <c r="I41" s="1637" t="s">
        <v>3141</v>
      </c>
      <c r="J41" s="1637" t="s">
        <v>3179</v>
      </c>
      <c r="K41" s="1637" t="s">
        <v>3182</v>
      </c>
      <c r="L41" s="1637">
        <v>2776</v>
      </c>
      <c r="M41" s="1637">
        <v>980.29</v>
      </c>
      <c r="N41" s="1637">
        <f t="shared" si="1"/>
        <v>980</v>
      </c>
      <c r="O41" s="1637">
        <v>0</v>
      </c>
      <c r="P41" s="1637" t="s">
        <v>3072</v>
      </c>
    </row>
    <row r="42" spans="1:16">
      <c r="A42" s="1637" t="s">
        <v>3185</v>
      </c>
      <c r="B42" s="1637" t="s">
        <v>3065</v>
      </c>
      <c r="C42" s="1637" t="s">
        <v>3066</v>
      </c>
      <c r="D42" s="1637" t="s">
        <v>3067</v>
      </c>
      <c r="E42" s="1637" t="s">
        <v>3185</v>
      </c>
      <c r="F42" s="1637" t="s">
        <v>3068</v>
      </c>
      <c r="G42" s="1637">
        <v>10492</v>
      </c>
      <c r="H42" s="1637">
        <v>10492</v>
      </c>
      <c r="I42" s="1637" t="s">
        <v>3141</v>
      </c>
      <c r="J42" s="1637" t="s">
        <v>3179</v>
      </c>
      <c r="K42" s="1637" t="s">
        <v>3142</v>
      </c>
      <c r="L42" s="1637">
        <v>945</v>
      </c>
      <c r="M42" s="1637">
        <v>900.69</v>
      </c>
      <c r="N42" s="1637">
        <f t="shared" si="1"/>
        <v>901</v>
      </c>
      <c r="O42" s="1637">
        <v>0</v>
      </c>
      <c r="P42" s="1637" t="s">
        <v>3072</v>
      </c>
    </row>
    <row r="43" spans="1:16">
      <c r="A43" s="1637" t="s">
        <v>3183</v>
      </c>
      <c r="B43" s="1637" t="s">
        <v>3065</v>
      </c>
      <c r="C43" s="1637" t="s">
        <v>3066</v>
      </c>
      <c r="D43" s="1637" t="s">
        <v>3067</v>
      </c>
      <c r="E43" s="1637" t="s">
        <v>3183</v>
      </c>
      <c r="F43" s="1637" t="s">
        <v>3068</v>
      </c>
      <c r="G43" s="1637">
        <v>6776</v>
      </c>
      <c r="H43" s="1637">
        <v>6776</v>
      </c>
      <c r="I43" s="1637" t="s">
        <v>3141</v>
      </c>
      <c r="J43" s="1637" t="s">
        <v>3179</v>
      </c>
      <c r="K43" s="1637" t="s">
        <v>3184</v>
      </c>
      <c r="L43" s="1637">
        <v>373</v>
      </c>
      <c r="M43" s="1637">
        <v>550.47</v>
      </c>
      <c r="N43" s="1637">
        <f t="shared" si="1"/>
        <v>550</v>
      </c>
      <c r="O43" s="1637">
        <v>0</v>
      </c>
      <c r="P43" s="1637" t="s">
        <v>3072</v>
      </c>
    </row>
    <row r="44" spans="1:16">
      <c r="A44" s="1637" t="s">
        <v>3178</v>
      </c>
      <c r="B44" s="1637" t="s">
        <v>3065</v>
      </c>
      <c r="C44" s="1637" t="s">
        <v>3066</v>
      </c>
      <c r="D44" s="1637" t="s">
        <v>3067</v>
      </c>
      <c r="E44" s="1637" t="s">
        <v>3178</v>
      </c>
      <c r="F44" s="1637" t="s">
        <v>3068</v>
      </c>
      <c r="G44" s="1637">
        <v>3473</v>
      </c>
      <c r="H44" s="1637">
        <v>4167.6000000000004</v>
      </c>
      <c r="I44" s="1637" t="s">
        <v>3078</v>
      </c>
      <c r="J44" s="1637" t="s">
        <v>3179</v>
      </c>
      <c r="K44" s="1637" t="s">
        <v>3180</v>
      </c>
      <c r="L44" s="1637">
        <v>157</v>
      </c>
      <c r="M44" s="1637">
        <v>376.72</v>
      </c>
      <c r="N44" s="1637">
        <f t="shared" si="1"/>
        <v>452</v>
      </c>
      <c r="O44" s="1637">
        <v>0</v>
      </c>
      <c r="P44" s="1637" t="s">
        <v>3072</v>
      </c>
    </row>
    <row r="45" spans="1:16">
      <c r="A45" s="1637" t="s">
        <v>3186</v>
      </c>
      <c r="B45" s="1637" t="s">
        <v>3065</v>
      </c>
      <c r="C45" s="1637" t="s">
        <v>3066</v>
      </c>
      <c r="D45" s="1637" t="s">
        <v>3067</v>
      </c>
      <c r="E45" s="1637" t="s">
        <v>3186</v>
      </c>
      <c r="F45" s="1637" t="s">
        <v>3068</v>
      </c>
      <c r="G45" s="1637">
        <v>8380</v>
      </c>
      <c r="H45" s="1637">
        <v>12570</v>
      </c>
      <c r="I45" s="1637" t="s">
        <v>3130</v>
      </c>
      <c r="J45" s="1637" t="s">
        <v>3179</v>
      </c>
      <c r="K45" s="1637" t="s">
        <v>3187</v>
      </c>
      <c r="L45" s="1637">
        <v>378</v>
      </c>
      <c r="M45" s="1637">
        <v>300.72000000000003</v>
      </c>
      <c r="N45" s="1637">
        <f t="shared" si="1"/>
        <v>451</v>
      </c>
      <c r="O45" s="1637">
        <v>0</v>
      </c>
      <c r="P45" s="1637" t="s">
        <v>3072</v>
      </c>
    </row>
    <row r="46" spans="1:16">
      <c r="A46" s="1637" t="s">
        <v>3188</v>
      </c>
      <c r="B46" s="1637" t="s">
        <v>3065</v>
      </c>
      <c r="C46" s="1637" t="s">
        <v>3066</v>
      </c>
      <c r="D46" s="1637" t="s">
        <v>3067</v>
      </c>
      <c r="E46" s="1637" t="s">
        <v>3188</v>
      </c>
      <c r="F46" s="1637" t="s">
        <v>3068</v>
      </c>
      <c r="G46" s="1637">
        <v>1440</v>
      </c>
      <c r="H46" s="1637">
        <v>2880</v>
      </c>
      <c r="I46" s="1637" t="s">
        <v>3150</v>
      </c>
      <c r="J46" s="1637" t="s">
        <v>3179</v>
      </c>
      <c r="K46" s="1637" t="s">
        <v>3189</v>
      </c>
      <c r="L46" s="1637">
        <v>65</v>
      </c>
      <c r="M46" s="1637">
        <v>225.68</v>
      </c>
      <c r="N46" s="1637">
        <f t="shared" si="1"/>
        <v>451</v>
      </c>
      <c r="O46" s="1637">
        <v>0</v>
      </c>
      <c r="P46" s="1637" t="s">
        <v>3072</v>
      </c>
    </row>
    <row r="47" spans="1:16">
      <c r="A47" s="1637" t="s">
        <v>3190</v>
      </c>
      <c r="B47" s="1637" t="s">
        <v>3065</v>
      </c>
      <c r="C47" s="1637" t="s">
        <v>3066</v>
      </c>
      <c r="D47" s="1637" t="s">
        <v>3067</v>
      </c>
      <c r="E47" s="1637" t="s">
        <v>3190</v>
      </c>
      <c r="F47" s="1637" t="s">
        <v>3068</v>
      </c>
      <c r="G47" s="1637">
        <v>7551</v>
      </c>
      <c r="H47" s="1637">
        <v>9061.2000000000007</v>
      </c>
      <c r="I47" s="1637" t="s">
        <v>3078</v>
      </c>
      <c r="J47" s="1637" t="s">
        <v>3191</v>
      </c>
      <c r="K47" s="1637" t="s">
        <v>3192</v>
      </c>
      <c r="L47" s="1637">
        <v>526</v>
      </c>
      <c r="M47" s="1637">
        <v>580.5</v>
      </c>
      <c r="N47" s="1637">
        <f t="shared" si="1"/>
        <v>697</v>
      </c>
      <c r="O47" s="1637">
        <v>0</v>
      </c>
      <c r="P47" s="1637" t="s">
        <v>3072</v>
      </c>
    </row>
    <row r="48" spans="1:16">
      <c r="A48" s="1637" t="s">
        <v>3193</v>
      </c>
      <c r="B48" s="1637" t="s">
        <v>3065</v>
      </c>
      <c r="C48" s="1637" t="s">
        <v>3066</v>
      </c>
      <c r="D48" s="1637" t="s">
        <v>3067</v>
      </c>
      <c r="E48" s="1637" t="s">
        <v>3193</v>
      </c>
      <c r="F48" s="1637" t="s">
        <v>3068</v>
      </c>
      <c r="G48" s="1637">
        <v>85336</v>
      </c>
      <c r="H48" s="1637">
        <v>136537.60000000001</v>
      </c>
      <c r="I48" s="1637" t="s">
        <v>3194</v>
      </c>
      <c r="J48" s="1637" t="s">
        <v>3195</v>
      </c>
      <c r="K48" s="1637" t="s">
        <v>3196</v>
      </c>
      <c r="L48" s="1637">
        <v>12758</v>
      </c>
      <c r="M48" s="1637">
        <v>934.38</v>
      </c>
      <c r="N48" s="1637">
        <f t="shared" si="1"/>
        <v>1495</v>
      </c>
      <c r="O48" s="1637">
        <v>0</v>
      </c>
      <c r="P48" s="1637" t="s">
        <v>3197</v>
      </c>
    </row>
    <row r="49" spans="1:16">
      <c r="A49" s="1637" t="s">
        <v>3198</v>
      </c>
      <c r="B49" s="1637" t="s">
        <v>3065</v>
      </c>
      <c r="C49" s="1637" t="s">
        <v>3066</v>
      </c>
      <c r="D49" s="1637" t="s">
        <v>3067</v>
      </c>
      <c r="E49" s="1637" t="s">
        <v>3198</v>
      </c>
      <c r="F49" s="1637" t="s">
        <v>3068</v>
      </c>
      <c r="G49" s="1637">
        <v>54391</v>
      </c>
      <c r="H49" s="1637">
        <v>81586.5</v>
      </c>
      <c r="I49" s="1637" t="s">
        <v>3130</v>
      </c>
      <c r="J49" s="1637" t="s">
        <v>3199</v>
      </c>
      <c r="K49" s="1637" t="s">
        <v>3200</v>
      </c>
      <c r="L49" s="1637">
        <v>5554</v>
      </c>
      <c r="M49" s="1637">
        <v>680.75</v>
      </c>
      <c r="N49" s="1637">
        <f t="shared" si="1"/>
        <v>1021</v>
      </c>
      <c r="O49" s="1637">
        <v>0</v>
      </c>
      <c r="P49" s="1637" t="s">
        <v>3072</v>
      </c>
    </row>
    <row r="50" spans="1:16">
      <c r="A50" s="1637" t="s">
        <v>3201</v>
      </c>
      <c r="B50" s="1637" t="s">
        <v>3065</v>
      </c>
      <c r="C50" s="1637" t="s">
        <v>3066</v>
      </c>
      <c r="D50" s="1637" t="s">
        <v>3067</v>
      </c>
      <c r="E50" s="1637" t="s">
        <v>3201</v>
      </c>
      <c r="F50" s="1637" t="s">
        <v>3068</v>
      </c>
      <c r="G50" s="1637">
        <v>5296</v>
      </c>
      <c r="H50" s="1637">
        <v>9532.7999999999993</v>
      </c>
      <c r="I50" s="1637" t="s">
        <v>3202</v>
      </c>
      <c r="J50" s="1637" t="s">
        <v>3203</v>
      </c>
      <c r="K50" s="1637" t="s">
        <v>3204</v>
      </c>
      <c r="L50" s="1637">
        <v>376</v>
      </c>
      <c r="M50" s="1637">
        <v>394.43</v>
      </c>
      <c r="N50" s="1637">
        <f t="shared" si="1"/>
        <v>710</v>
      </c>
      <c r="O50" s="1637">
        <v>0</v>
      </c>
      <c r="P50" s="1637" t="s">
        <v>3072</v>
      </c>
    </row>
    <row r="51" spans="1:16">
      <c r="A51" s="2950" t="s">
        <v>3243</v>
      </c>
      <c r="B51" s="2950" t="s">
        <v>3065</v>
      </c>
      <c r="C51" s="2950" t="s">
        <v>3066</v>
      </c>
      <c r="D51" s="2950" t="s">
        <v>3067</v>
      </c>
      <c r="E51" s="2950" t="s">
        <v>3205</v>
      </c>
      <c r="F51" s="2950" t="s">
        <v>3068</v>
      </c>
      <c r="G51" s="2950">
        <v>2110</v>
      </c>
      <c r="H51" s="2950">
        <v>1055</v>
      </c>
      <c r="I51" s="2950" t="s">
        <v>3069</v>
      </c>
      <c r="J51" s="2950" t="s">
        <v>3206</v>
      </c>
      <c r="K51" s="2950" t="s">
        <v>3207</v>
      </c>
      <c r="L51" s="2950">
        <v>428</v>
      </c>
      <c r="M51" s="2950">
        <v>4056.86</v>
      </c>
      <c r="N51" s="2950">
        <f t="shared" si="1"/>
        <v>2028</v>
      </c>
      <c r="O51" s="2950">
        <v>0</v>
      </c>
      <c r="P51" s="2950" t="s">
        <v>3072</v>
      </c>
    </row>
    <row r="52" spans="1:16">
      <c r="A52" s="2951" t="s">
        <v>3212</v>
      </c>
      <c r="B52" s="2951" t="s">
        <v>3065</v>
      </c>
      <c r="C52" s="2951" t="s">
        <v>3066</v>
      </c>
      <c r="D52" s="2951" t="s">
        <v>3067</v>
      </c>
      <c r="E52" s="2951" t="s">
        <v>3212</v>
      </c>
      <c r="F52" s="2951" t="s">
        <v>3068</v>
      </c>
      <c r="G52" s="2951">
        <v>27367</v>
      </c>
      <c r="H52" s="2951">
        <v>21893.599999999999</v>
      </c>
      <c r="I52" s="2951" t="s">
        <v>3213</v>
      </c>
      <c r="J52" s="2951" t="s">
        <v>3210</v>
      </c>
      <c r="K52" s="2951" t="s">
        <v>3211</v>
      </c>
      <c r="L52" s="2951">
        <v>3383</v>
      </c>
      <c r="M52" s="2951">
        <v>1545.2</v>
      </c>
      <c r="N52" s="2951">
        <f t="shared" si="1"/>
        <v>1236</v>
      </c>
      <c r="O52" s="2951">
        <v>0</v>
      </c>
      <c r="P52" s="2951" t="s">
        <v>3072</v>
      </c>
    </row>
    <row r="53" spans="1:16">
      <c r="A53" s="2951" t="s">
        <v>3208</v>
      </c>
      <c r="B53" s="2951" t="s">
        <v>3065</v>
      </c>
      <c r="C53" s="2951" t="s">
        <v>3066</v>
      </c>
      <c r="D53" s="2951" t="s">
        <v>3067</v>
      </c>
      <c r="E53" s="2951" t="s">
        <v>3208</v>
      </c>
      <c r="F53" s="2951" t="s">
        <v>3068</v>
      </c>
      <c r="G53" s="2951">
        <v>13773</v>
      </c>
      <c r="H53" s="2951">
        <v>9641.1</v>
      </c>
      <c r="I53" s="2951" t="s">
        <v>3209</v>
      </c>
      <c r="J53" s="2951" t="s">
        <v>3210</v>
      </c>
      <c r="K53" s="2951" t="s">
        <v>3211</v>
      </c>
      <c r="L53" s="2951">
        <v>1583</v>
      </c>
      <c r="M53" s="2951">
        <v>1641.93</v>
      </c>
      <c r="N53" s="2951">
        <f t="shared" si="1"/>
        <v>1149</v>
      </c>
      <c r="O53" s="2951">
        <v>0</v>
      </c>
      <c r="P53" s="2951" t="s">
        <v>3072</v>
      </c>
    </row>
    <row r="54" spans="1:16">
      <c r="A54" s="2950" t="s">
        <v>3214</v>
      </c>
      <c r="B54" s="2950" t="s">
        <v>3065</v>
      </c>
      <c r="C54" s="2950" t="s">
        <v>3066</v>
      </c>
      <c r="D54" s="2950" t="s">
        <v>3067</v>
      </c>
      <c r="E54" s="2950" t="s">
        <v>3214</v>
      </c>
      <c r="F54" s="2950" t="s">
        <v>3068</v>
      </c>
      <c r="G54" s="2950">
        <v>6921</v>
      </c>
      <c r="H54" s="2950">
        <v>3460.5</v>
      </c>
      <c r="I54" s="2950" t="s">
        <v>3069</v>
      </c>
      <c r="J54" s="2950" t="s">
        <v>3215</v>
      </c>
      <c r="K54" s="2950" t="s">
        <v>3216</v>
      </c>
      <c r="L54" s="2950">
        <v>893</v>
      </c>
      <c r="M54" s="2950">
        <v>2580.5500000000002</v>
      </c>
      <c r="N54" s="2950">
        <f t="shared" si="1"/>
        <v>1290</v>
      </c>
      <c r="O54" s="2950">
        <v>0</v>
      </c>
      <c r="P54" s="2950" t="s">
        <v>3072</v>
      </c>
    </row>
    <row r="55" spans="1:16">
      <c r="A55" s="1637" t="s">
        <v>3217</v>
      </c>
      <c r="B55" s="1637" t="s">
        <v>3065</v>
      </c>
      <c r="C55" s="1637" t="s">
        <v>3066</v>
      </c>
      <c r="D55" s="1637" t="s">
        <v>3067</v>
      </c>
      <c r="E55" s="1637" t="s">
        <v>3217</v>
      </c>
      <c r="F55" s="1637" t="s">
        <v>3068</v>
      </c>
      <c r="G55" s="1637">
        <v>72986</v>
      </c>
      <c r="H55" s="1637">
        <v>145972</v>
      </c>
      <c r="I55" s="1637" t="s">
        <v>3218</v>
      </c>
      <c r="J55" s="1637" t="s">
        <v>3219</v>
      </c>
      <c r="K55" s="1637" t="s">
        <v>3220</v>
      </c>
      <c r="L55" s="1637">
        <v>5117</v>
      </c>
      <c r="M55" s="1637">
        <v>350.55</v>
      </c>
      <c r="N55" s="1637">
        <f t="shared" si="1"/>
        <v>701</v>
      </c>
      <c r="O55" s="1637">
        <v>0</v>
      </c>
      <c r="P55" s="1637" t="s">
        <v>3072</v>
      </c>
    </row>
    <row r="56" spans="1:16">
      <c r="A56" s="1637" t="s">
        <v>3225</v>
      </c>
      <c r="B56" s="1637" t="s">
        <v>3065</v>
      </c>
      <c r="C56" s="1637" t="s">
        <v>3066</v>
      </c>
      <c r="D56" s="1637" t="s">
        <v>3067</v>
      </c>
      <c r="E56" s="1637" t="s">
        <v>3225</v>
      </c>
      <c r="F56" s="1637" t="s">
        <v>3068</v>
      </c>
      <c r="G56" s="1637">
        <v>17428</v>
      </c>
      <c r="H56" s="1637">
        <v>34856</v>
      </c>
      <c r="I56" s="1637" t="s">
        <v>3093</v>
      </c>
      <c r="J56" s="1637" t="s">
        <v>3223</v>
      </c>
      <c r="K56" s="1637" t="s">
        <v>3226</v>
      </c>
      <c r="L56" s="1637">
        <v>1340</v>
      </c>
      <c r="M56" s="1637">
        <v>384.43</v>
      </c>
      <c r="N56" s="1637">
        <f t="shared" si="1"/>
        <v>769</v>
      </c>
      <c r="O56" s="1637">
        <v>0.75</v>
      </c>
      <c r="P56" s="1637" t="s">
        <v>3072</v>
      </c>
    </row>
    <row r="57" spans="1:16">
      <c r="A57" s="1637" t="s">
        <v>3221</v>
      </c>
      <c r="B57" s="1637" t="s">
        <v>3065</v>
      </c>
      <c r="C57" s="1637" t="s">
        <v>3066</v>
      </c>
      <c r="D57" s="1637" t="s">
        <v>3067</v>
      </c>
      <c r="E57" s="1637" t="s">
        <v>3221</v>
      </c>
      <c r="F57" s="1637" t="s">
        <v>3068</v>
      </c>
      <c r="G57" s="1637">
        <v>12354</v>
      </c>
      <c r="H57" s="1637">
        <v>14824.8</v>
      </c>
      <c r="I57" s="1637" t="s">
        <v>3222</v>
      </c>
      <c r="J57" s="1637" t="s">
        <v>3223</v>
      </c>
      <c r="K57" s="1637" t="s">
        <v>3224</v>
      </c>
      <c r="L57" s="1637">
        <v>820</v>
      </c>
      <c r="M57" s="1637">
        <v>553.12</v>
      </c>
      <c r="N57" s="1637">
        <f t="shared" si="1"/>
        <v>664</v>
      </c>
      <c r="O57" s="1637">
        <v>0</v>
      </c>
      <c r="P57" s="1637" t="s">
        <v>3072</v>
      </c>
    </row>
  </sheetData>
  <sortState ref="A2:P57">
    <sortCondition descending="1" ref="J1"/>
  </sortState>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C34" sqref="C34"/>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3"/>
      <c r="C1" s="1584"/>
      <c r="D1" s="1582"/>
      <c r="E1" s="320"/>
      <c r="F1" s="320"/>
      <c r="G1" s="1583"/>
      <c r="H1" s="320"/>
      <c r="I1" s="320"/>
      <c r="J1" s="320"/>
      <c r="K1" s="320">
        <f>MATCH(C1,'数据-取费表'!A6:A16,0)+5</f>
        <v>7</v>
      </c>
    </row>
    <row r="2" spans="1:33" ht="18" customHeight="1">
      <c r="A2" s="245" t="s">
        <v>2331</v>
      </c>
      <c r="B2" s="248">
        <f ca="1">C32</f>
        <v>5186</v>
      </c>
      <c r="C2" s="320" t="s">
        <v>2464</v>
      </c>
      <c r="D2" s="320"/>
      <c r="E2" s="320"/>
      <c r="F2" s="320"/>
      <c r="G2" s="320"/>
      <c r="H2" s="320"/>
      <c r="I2" s="320"/>
      <c r="J2" s="320"/>
      <c r="K2" s="320"/>
    </row>
    <row r="3" spans="1:33" ht="18" customHeight="1" thickBot="1">
      <c r="A3" s="247" t="s">
        <v>2333</v>
      </c>
      <c r="B3" s="248">
        <f ca="1">ROUND(B2*10000/IF(C1="",'数据-汇总表'!E3,INDIRECT("'数据-取费表'!K"&amp;$K$1)),0)</f>
        <v>3148</v>
      </c>
      <c r="C3" s="320" t="s">
        <v>2465</v>
      </c>
      <c r="D3" s="320"/>
      <c r="E3" s="320"/>
      <c r="F3" s="320"/>
      <c r="G3" s="320"/>
      <c r="H3" s="320"/>
      <c r="I3" s="320"/>
      <c r="J3" s="320"/>
      <c r="K3" s="320"/>
    </row>
    <row r="4" spans="1:33" s="959" customFormat="1" ht="16.5" customHeight="1">
      <c r="A4" s="956" t="s">
        <v>2466</v>
      </c>
      <c r="B4" s="957"/>
      <c r="C4" s="999">
        <f ca="1">SUM(C8:K8)</f>
        <v>5637</v>
      </c>
      <c r="D4" s="957"/>
      <c r="E4" s="957"/>
      <c r="F4" s="957"/>
      <c r="G4" s="957"/>
      <c r="H4" s="957"/>
      <c r="I4" s="957"/>
      <c r="J4" s="957"/>
      <c r="K4" s="958"/>
    </row>
    <row r="5" spans="1:33" s="963" customFormat="1" ht="15">
      <c r="A5" s="960" t="s">
        <v>2467</v>
      </c>
      <c r="B5" s="961" t="s">
        <v>2468</v>
      </c>
      <c r="C5" s="2560" t="s">
        <v>1377</v>
      </c>
      <c r="D5" s="2560"/>
      <c r="E5" s="2560"/>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f ca="1">收益法!B3</f>
        <v>3429</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16440.41</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2472</v>
      </c>
      <c r="B8" s="177" t="s">
        <v>2473</v>
      </c>
      <c r="C8" s="1000">
        <f ca="1">收益法!B2</f>
        <v>5637</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0.05</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16471.48</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16471.48</v>
      </c>
      <c r="E17" s="24">
        <f>'数据-取费表'!B32</f>
        <v>0</v>
      </c>
      <c r="F17" s="981"/>
      <c r="G17" s="140" t="s">
        <v>2492</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62"/>
      <c r="H18" s="1579"/>
      <c r="I18" s="2563"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16471.48</v>
      </c>
      <c r="E20" s="24">
        <f>'数据-取费表'!B28</f>
        <v>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0.03</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0.05</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2510</v>
      </c>
      <c r="B28" s="2565" t="s">
        <v>2511</v>
      </c>
      <c r="C28" s="331">
        <f ca="1">C30</f>
        <v>0</v>
      </c>
      <c r="D28" s="324">
        <f ca="1">C29</f>
        <v>0</v>
      </c>
      <c r="E28" s="326" t="s">
        <v>15</v>
      </c>
      <c r="F28" s="332">
        <f ca="1">IF(C1="",'数据-取费表'!Q16,INDIRECT("'数据-取费表'!q"&amp;$K$1))</f>
        <v>0.06</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6" t="s">
        <v>2515</v>
      </c>
      <c r="B31" s="1008" t="s">
        <v>2516</v>
      </c>
      <c r="C31" s="1009">
        <f ca="1">ROUND(C4*F31/(1+'数据-取费表'!C42),0)</f>
        <v>301</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5186</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7">
    <tabColor rgb="FF92D050"/>
  </sheetPr>
  <dimension ref="A1:AK83"/>
  <sheetViews>
    <sheetView tabSelected="1" zoomScale="70" zoomScaleNormal="70" zoomScaleSheetLayoutView="90" workbookViewId="0">
      <selection activeCell="E15" sqref="E1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1377</v>
      </c>
      <c r="D1" s="1822" t="s">
        <v>70</v>
      </c>
      <c r="E1" s="1823" t="s">
        <v>1387</v>
      </c>
      <c r="F1" s="1286">
        <f ca="1">J53</f>
        <v>37.479999999999997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5637</v>
      </c>
      <c r="C2" s="1847" t="s">
        <v>1516</v>
      </c>
      <c r="D2" s="1847"/>
      <c r="E2" s="1848"/>
      <c r="F2" s="1849"/>
      <c r="G2" s="1850"/>
      <c r="H2" s="1842"/>
      <c r="I2" s="1842"/>
      <c r="J2" s="1842"/>
      <c r="K2" s="1843"/>
      <c r="L2" s="1842"/>
      <c r="M2" s="1842"/>
    </row>
    <row r="3" spans="1:37" ht="18" customHeight="1" thickBot="1">
      <c r="A3" s="1851" t="s">
        <v>1517</v>
      </c>
      <c r="B3" s="1852">
        <f ca="1">IF(ISERROR(B2*10000/F43),0,ROUND(B2*10000/F43,0))</f>
        <v>3429</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541</v>
      </c>
      <c r="D5" s="1824" t="s">
        <v>1402</v>
      </c>
      <c r="E5" s="1296"/>
      <c r="F5" s="1297"/>
      <c r="G5" s="1853"/>
      <c r="H5" s="344">
        <v>1</v>
      </c>
      <c r="I5" s="345" t="s">
        <v>1401</v>
      </c>
      <c r="J5" s="1295">
        <f ca="1">J6+J10+J12</f>
        <v>0</v>
      </c>
      <c r="K5" s="1824" t="s">
        <v>1402</v>
      </c>
      <c r="L5" s="1296"/>
      <c r="M5" s="1297"/>
    </row>
    <row r="6" spans="1:37" ht="18" customHeight="1">
      <c r="A6" s="1294" t="s">
        <v>1035</v>
      </c>
      <c r="B6" s="3194" t="s">
        <v>1403</v>
      </c>
      <c r="C6" s="1299">
        <f ca="1">ROUND(F6*F8*F7*(1-F9)/10000,0)</f>
        <v>540</v>
      </c>
      <c r="D6" s="164" t="s">
        <v>3034</v>
      </c>
      <c r="E6" s="347" t="s">
        <v>1405</v>
      </c>
      <c r="F6" s="348">
        <f ca="1">INDIRECT("'数据-取费表'!u"&amp;$G$1)</f>
        <v>1</v>
      </c>
      <c r="G6" s="1853"/>
      <c r="H6" s="1294" t="s">
        <v>1035</v>
      </c>
      <c r="I6" s="3194" t="s">
        <v>1403</v>
      </c>
      <c r="J6" s="346">
        <f ca="1">ROUND(M6*M8*M7*(1-M9)/10000,0)</f>
        <v>0</v>
      </c>
      <c r="K6" s="164" t="s">
        <v>3033</v>
      </c>
      <c r="L6" s="347" t="s">
        <v>1405</v>
      </c>
      <c r="M6" s="348">
        <f ca="1">INDIRECT("'数据-取费表'!z"&amp;$G$1)</f>
        <v>0</v>
      </c>
    </row>
    <row r="7" spans="1:37" ht="18" customHeight="1">
      <c r="A7" s="1298"/>
      <c r="B7" s="3195"/>
      <c r="C7" s="1300"/>
      <c r="D7" s="352"/>
      <c r="E7" s="1301" t="s">
        <v>1406</v>
      </c>
      <c r="F7" s="348">
        <f ca="1">IF(INDIRECT("'数据-取费表'!ah"&amp;$G$1)="",INDIRECT("'数据-取费表'!k"&amp;$G$1),INDIRECT("'数据-取费表'!ah"&amp;$G$1))</f>
        <v>16440.41</v>
      </c>
      <c r="G7" s="1853"/>
      <c r="H7" s="349"/>
      <c r="I7" s="3195"/>
      <c r="J7" s="351"/>
      <c r="K7" s="352"/>
      <c r="L7" s="347" t="s">
        <v>1406</v>
      </c>
      <c r="M7" s="348">
        <f ca="1">F7</f>
        <v>16440.41</v>
      </c>
    </row>
    <row r="8" spans="1:37" ht="18" customHeight="1">
      <c r="A8" s="349"/>
      <c r="B8" s="3195"/>
      <c r="C8" s="351"/>
      <c r="D8" s="352"/>
      <c r="E8" s="347" t="s">
        <v>1407</v>
      </c>
      <c r="F8" s="348">
        <f ca="1">INDIRECT("'数据-取费表'!ai"&amp;$G$1)</f>
        <v>365</v>
      </c>
      <c r="G8" s="1853"/>
      <c r="H8" s="349"/>
      <c r="I8" s="3195"/>
      <c r="J8" s="351"/>
      <c r="K8" s="352"/>
      <c r="L8" s="347" t="s">
        <v>1407</v>
      </c>
      <c r="M8" s="348">
        <f ca="1">INDIRECT("'数据-取费表'!ai"&amp;$G$1)</f>
        <v>365</v>
      </c>
    </row>
    <row r="9" spans="1:37" ht="18" customHeight="1">
      <c r="A9" s="349"/>
      <c r="B9" s="3196"/>
      <c r="C9" s="351"/>
      <c r="D9" s="352"/>
      <c r="E9" s="347" t="s">
        <v>1408</v>
      </c>
      <c r="F9" s="357">
        <f ca="1">INDIRECT("'数据-取费表'!w"&amp;$G$1)</f>
        <v>0.1</v>
      </c>
      <c r="G9" s="1853"/>
      <c r="H9" s="349"/>
      <c r="I9" s="3196"/>
      <c r="J9" s="351"/>
      <c r="K9" s="352"/>
      <c r="L9" s="358" t="s">
        <v>1408</v>
      </c>
      <c r="M9" s="359">
        <f ca="1">INDIRECT("'数据-取费表'!ab"&amp;$G$1)</f>
        <v>0</v>
      </c>
    </row>
    <row r="10" spans="1:37" ht="18" customHeight="1">
      <c r="A10" s="1294" t="s">
        <v>1039</v>
      </c>
      <c r="B10" s="1825" t="s">
        <v>1409</v>
      </c>
      <c r="C10" s="361">
        <f ca="1">ROUND(IF(F10="押一",C6/12*F11,IF(F10="押二",C6/12*2*F11,IF(F10="押三",C6/12*3*F11,C11*F11))),0)</f>
        <v>1</v>
      </c>
      <c r="D10" s="1826" t="s">
        <v>3043</v>
      </c>
      <c r="E10" s="358" t="s">
        <v>1410</v>
      </c>
      <c r="F10" s="1369" t="s">
        <v>3247</v>
      </c>
      <c r="G10" s="1853"/>
      <c r="H10" s="1294" t="s">
        <v>1039</v>
      </c>
      <c r="I10" s="1825" t="s">
        <v>1409</v>
      </c>
      <c r="J10" s="346">
        <f ca="1">ROUND(IF(M10="押一",J6/12*M11,IF(M10="押二",J6/12*2*M11,IF(M10="押三",J6/12*3*M11,J11*M11))),0)</f>
        <v>0</v>
      </c>
      <c r="K10" s="1826" t="s">
        <v>3042</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10515</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7406</v>
      </c>
      <c r="D14" s="1802" t="s">
        <v>1418</v>
      </c>
      <c r="E14" s="1796"/>
      <c r="F14" s="364"/>
      <c r="G14" s="1853"/>
      <c r="H14" s="1204" t="s">
        <v>1035</v>
      </c>
      <c r="I14" s="347" t="s">
        <v>1419</v>
      </c>
      <c r="J14" s="24">
        <f ca="1">C29</f>
        <v>10515</v>
      </c>
      <c r="K14" s="15"/>
      <c r="L14" s="982"/>
      <c r="M14" s="983"/>
    </row>
    <row r="15" spans="1:37" s="1860" customFormat="1" ht="18" customHeight="1" thickBot="1">
      <c r="A15" s="1204" t="s">
        <v>1036</v>
      </c>
      <c r="B15" s="347" t="s">
        <v>1420</v>
      </c>
      <c r="C15" s="24">
        <f ca="1">ROUND(C14*F15,0)</f>
        <v>370</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261</v>
      </c>
      <c r="K16" s="1340" t="s">
        <v>1425</v>
      </c>
      <c r="L16" s="1341"/>
      <c r="M16" s="1297"/>
    </row>
    <row r="17" spans="1:37" s="1860" customFormat="1" ht="18" customHeight="1">
      <c r="A17" s="1204" t="s">
        <v>1390</v>
      </c>
      <c r="B17" s="347" t="s">
        <v>1426</v>
      </c>
      <c r="C17" s="24">
        <f ca="1">ROUND(F17*(F43+INDIRECT("'数据-取费表'!S"&amp;$G$1))/10000,0)</f>
        <v>329</v>
      </c>
      <c r="D17" s="347" t="s">
        <v>1427</v>
      </c>
      <c r="E17" s="347" t="s">
        <v>1428</v>
      </c>
      <c r="F17" s="26">
        <f>'数据-取费表'!B35</f>
        <v>200</v>
      </c>
      <c r="G17" s="1856"/>
      <c r="H17" s="1204" t="s">
        <v>1035</v>
      </c>
      <c r="I17" s="347" t="s">
        <v>1429</v>
      </c>
      <c r="J17" s="24">
        <f ca="1">ROUND(IF(项目基本情况!B11="自然人",J5*M17,J18+J19+J20),1)</f>
        <v>103.2</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111</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8216</v>
      </c>
      <c r="D19" s="140" t="s">
        <v>1436</v>
      </c>
      <c r="E19" s="1820"/>
      <c r="F19" s="26"/>
      <c r="G19" s="1853"/>
      <c r="H19" s="1204" t="s">
        <v>1036</v>
      </c>
      <c r="I19" s="347" t="s">
        <v>1437</v>
      </c>
      <c r="J19" s="24">
        <f ca="1">IF(K19="按租金收入计税",ROUND(J5*M19,2),ROUND(C29*M19*0.7,2))</f>
        <v>88.33</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246</v>
      </c>
      <c r="D20" s="369" t="s">
        <v>1440</v>
      </c>
      <c r="E20" s="347" t="s">
        <v>1422</v>
      </c>
      <c r="F20" s="367">
        <f>'数据-取费表'!B37</f>
        <v>0.03</v>
      </c>
      <c r="G20" s="1856"/>
      <c r="H20" s="1204" t="s">
        <v>1389</v>
      </c>
      <c r="I20" s="164" t="s">
        <v>1441</v>
      </c>
      <c r="J20" s="25">
        <f ca="1">ROUND(M20*M21/10000,2)</f>
        <v>14.89</v>
      </c>
      <c r="K20" s="370" t="s">
        <v>1442</v>
      </c>
      <c r="L20" s="347" t="s">
        <v>1443</v>
      </c>
      <c r="M20" s="371">
        <f>'数据-取费表'!B52</f>
        <v>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0.05</v>
      </c>
      <c r="G21" s="1856"/>
      <c r="H21" s="372"/>
      <c r="I21" s="356"/>
      <c r="J21" s="29"/>
      <c r="K21" s="373"/>
      <c r="L21" s="347" t="s">
        <v>1447</v>
      </c>
      <c r="M21" s="348">
        <f ca="1">INDIRECT("'数据-取费表'!r"&amp;$G$1)</f>
        <v>24812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157.69999999999999</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402</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2.3999999999999998E-3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-261</v>
      </c>
      <c r="K25" s="1348" t="s">
        <v>1464</v>
      </c>
      <c r="L25" s="1349"/>
      <c r="M25" s="1350"/>
    </row>
    <row r="26" spans="1:37">
      <c r="A26" s="1204" t="s">
        <v>1034</v>
      </c>
      <c r="B26" s="347" t="s">
        <v>1465</v>
      </c>
      <c r="C26" s="24">
        <f ca="1">ROUND((C19+C20)*F26,0)</f>
        <v>508</v>
      </c>
      <c r="D26" s="369" t="s">
        <v>1466</v>
      </c>
      <c r="E26" s="358" t="s">
        <v>1467</v>
      </c>
      <c r="F26" s="357">
        <f ca="1">INDIRECT("'数据-取费表'!q"&amp;$G$1)</f>
        <v>0.06</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10515</v>
      </c>
      <c r="D29" s="1345"/>
      <c r="E29" s="1343"/>
      <c r="F29" s="1346"/>
      <c r="G29" s="1856"/>
      <c r="H29" s="380" t="s">
        <v>1033</v>
      </c>
      <c r="I29" s="381" t="s">
        <v>1479</v>
      </c>
      <c r="J29" s="382">
        <f ca="1">ROUND(J26/(1+F40)^F41,0)</f>
        <v>0</v>
      </c>
      <c r="K29" s="383" t="s">
        <v>1480</v>
      </c>
      <c r="L29" s="384"/>
      <c r="M29" s="385">
        <f ca="1">INDIRECT("'数据-取费表'!k"&amp;$G$1)</f>
        <v>16440.41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311</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132.1</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28.85</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88.33</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14.89</v>
      </c>
      <c r="D34" s="370" t="s">
        <v>1442</v>
      </c>
      <c r="E34" s="347" t="s">
        <v>1443</v>
      </c>
      <c r="F34" s="371">
        <f>'数据-取费表'!B52</f>
        <v>6</v>
      </c>
      <c r="G34" s="1853"/>
      <c r="H34" s="745"/>
      <c r="I34" s="1862"/>
      <c r="J34" s="1863"/>
      <c r="K34" s="1865"/>
      <c r="L34" s="1866"/>
      <c r="M34" s="1866"/>
    </row>
    <row r="35" spans="1:18" ht="18" customHeight="1">
      <c r="A35" s="1356"/>
      <c r="B35" s="1354"/>
      <c r="C35" s="29"/>
      <c r="D35" s="373"/>
      <c r="E35" s="347" t="s">
        <v>1447</v>
      </c>
      <c r="F35" s="348">
        <f ca="1">INDIRECT("'数据-取费表'!r"&amp;$G$1)</f>
        <v>24812</v>
      </c>
      <c r="G35" s="1853"/>
      <c r="H35" s="745"/>
      <c r="I35" s="1862"/>
      <c r="J35" s="1863"/>
      <c r="K35" s="1864"/>
      <c r="L35" s="1861"/>
      <c r="M35" s="1861"/>
    </row>
    <row r="36" spans="1:18" ht="18" customHeight="1">
      <c r="A36" s="1355" t="s">
        <v>1039</v>
      </c>
      <c r="B36" s="347" t="s">
        <v>1449</v>
      </c>
      <c r="C36" s="24">
        <f ca="1">ROUND(C29*F36,1)</f>
        <v>157.69999999999999</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15.8</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5.4</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230</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5471</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37.479999999999997</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3328</v>
      </c>
      <c r="D43" s="383" t="s">
        <v>1488</v>
      </c>
      <c r="E43" s="384" t="s">
        <v>1489</v>
      </c>
      <c r="F43" s="385">
        <f ca="1">INDIRECT("'数据-取费表'!k"&amp;$G$1)</f>
        <v>16440.41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-10121</v>
      </c>
      <c r="D46" s="1874" t="str">
        <f>C2</f>
        <v>万元</v>
      </c>
      <c r="E46" s="1868"/>
      <c r="F46" s="1868"/>
      <c r="I46" s="1875" t="s">
        <v>1521</v>
      </c>
      <c r="J46" s="1876"/>
      <c r="K46" s="1877"/>
      <c r="L46" s="1878">
        <f ca="1">IF(M47="住宅",0,IF(L48&gt;J51,L60,J60))</f>
        <v>166</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3249</v>
      </c>
      <c r="K47" s="1884" t="s">
        <v>1527</v>
      </c>
      <c r="L47" s="1885">
        <f ca="1">INDIRECT("'数据-取费表'!d"&amp;$G$1)</f>
        <v>40</v>
      </c>
      <c r="M47" s="1840" t="str">
        <f>IF(ISNUMBER(FIND("住宅",C1)),"住宅","非住宅")</f>
        <v>非住宅</v>
      </c>
      <c r="O47" s="1886" t="s">
        <v>1040</v>
      </c>
      <c r="P47" s="1887" t="s">
        <v>1528</v>
      </c>
      <c r="Q47" s="1888">
        <f ca="1">C40+J29</f>
        <v>5471</v>
      </c>
      <c r="R47" s="1888" t="s">
        <v>1529</v>
      </c>
    </row>
    <row r="48" spans="1:18" s="1844" customFormat="1" ht="28.5" thickBot="1">
      <c r="A48" s="1363" t="s">
        <v>1135</v>
      </c>
      <c r="B48" s="345" t="s">
        <v>1401</v>
      </c>
      <c r="C48" s="1819">
        <f ca="1">C49+C53+C55</f>
        <v>0</v>
      </c>
      <c r="D48" s="1365"/>
      <c r="E48" s="1366"/>
      <c r="F48" s="1184"/>
      <c r="G48" s="792"/>
      <c r="H48" s="793"/>
      <c r="I48" s="1889" t="s">
        <v>1530</v>
      </c>
      <c r="J48" s="1890" t="s">
        <v>3250</v>
      </c>
      <c r="K48" s="1891" t="s">
        <v>1531</v>
      </c>
      <c r="L48" s="1892">
        <f ca="1">INDIRECT("'数据-取费表'!f"&amp;$G$1)</f>
        <v>37.479999999999997</v>
      </c>
      <c r="O48" s="1886" t="s">
        <v>1041</v>
      </c>
      <c r="P48" s="1887" t="s">
        <v>1532</v>
      </c>
      <c r="Q48" s="1888">
        <f ca="1">J60</f>
        <v>166</v>
      </c>
      <c r="R48" s="1888" t="s">
        <v>1533</v>
      </c>
    </row>
    <row r="49" spans="1:18" s="1844" customFormat="1" ht="13.5" thickBot="1">
      <c r="A49" s="1197" t="s">
        <v>1136</v>
      </c>
      <c r="B49" s="1831" t="s">
        <v>1490</v>
      </c>
      <c r="C49" s="1367">
        <f ca="1">ROUND(F49*F51*F50*(1-F52)/10000,0)</f>
        <v>0</v>
      </c>
      <c r="D49" s="1279" t="s">
        <v>3035</v>
      </c>
      <c r="E49" s="1832" t="s">
        <v>1491</v>
      </c>
      <c r="F49" s="1284"/>
      <c r="G49" s="1893"/>
      <c r="H49" s="793"/>
      <c r="I49" s="1889" t="s">
        <v>1534</v>
      </c>
      <c r="J49" s="1894">
        <v>2018</v>
      </c>
      <c r="K49" s="1891" t="s">
        <v>1535</v>
      </c>
      <c r="L49" s="1895"/>
      <c r="O49" s="1896" t="s">
        <v>1042</v>
      </c>
      <c r="P49" s="1887" t="s">
        <v>1536</v>
      </c>
      <c r="Q49" s="1888">
        <f ca="1">C29</f>
        <v>10515</v>
      </c>
      <c r="R49" s="1888" t="s">
        <v>1529</v>
      </c>
    </row>
    <row r="50" spans="1:18" s="1844" customFormat="1" ht="13.5" thickBot="1">
      <c r="A50" s="1198"/>
      <c r="B50" s="1201"/>
      <c r="C50" s="1371"/>
      <c r="D50" s="1175"/>
      <c r="E50" s="1280" t="s">
        <v>1406</v>
      </c>
      <c r="F50" s="1281">
        <f ca="1">F7</f>
        <v>16440.41</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-11917</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37.479999999999997</v>
      </c>
      <c r="R52" s="1888" t="s">
        <v>1546</v>
      </c>
    </row>
    <row r="53" spans="1:18" s="1844" customFormat="1" ht="24.75" thickBot="1">
      <c r="A53" s="1408" t="s">
        <v>1137</v>
      </c>
      <c r="B53" s="1833" t="s">
        <v>1409</v>
      </c>
      <c r="C53" s="361">
        <f ca="1">ROUND(IF(F53="押一",C49/12*F11,IF(F53="押二",C49/12*2*F11,IF(F53="押三",C49/12*3*F11,C54*F11))),0)</f>
        <v>0</v>
      </c>
      <c r="D53" s="1826" t="s">
        <v>3042</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37.479999999999997</v>
      </c>
      <c r="K53" s="3192" t="s">
        <v>1548</v>
      </c>
      <c r="L53" s="3193"/>
      <c r="O53" s="1886" t="s">
        <v>1046</v>
      </c>
      <c r="P53" s="1887" t="s">
        <v>1549</v>
      </c>
      <c r="Q53" s="1888">
        <f ca="1">Q47+Q48</f>
        <v>5637</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f ca="1">ROUND(IF(J47="钢混",J57/J50,1-(1-2%)*(J50-J57)/J50),3)</f>
        <v>0.375</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10515</v>
      </c>
      <c r="D56" s="1916"/>
      <c r="E56" s="1917"/>
      <c r="F56" s="1909"/>
      <c r="I56" s="1918" t="s">
        <v>1554</v>
      </c>
      <c r="J56" s="1919" t="s">
        <v>3251</v>
      </c>
      <c r="K56" s="1889" t="s">
        <v>1555</v>
      </c>
      <c r="L56" s="1892" t="str">
        <f ca="1">IF(L48&lt;J51,"——",L48-J53)</f>
        <v>——</v>
      </c>
      <c r="O56" s="1886" t="s">
        <v>1040</v>
      </c>
      <c r="P56" s="1887" t="s">
        <v>1528</v>
      </c>
      <c r="Q56" s="1888">
        <f ca="1">C40+J29</f>
        <v>5471</v>
      </c>
      <c r="R56" s="1888" t="s">
        <v>1529</v>
      </c>
    </row>
    <row r="57" spans="1:18" s="1844" customFormat="1" ht="24.75" thickBot="1">
      <c r="A57" s="1920"/>
      <c r="B57" s="1172" t="s">
        <v>1478</v>
      </c>
      <c r="C57" s="282">
        <f ca="1">C29</f>
        <v>10515</v>
      </c>
      <c r="D57" s="1921"/>
      <c r="E57" s="1922"/>
      <c r="F57" s="1923"/>
      <c r="I57" s="1924" t="s">
        <v>1556</v>
      </c>
      <c r="J57" s="1925">
        <f ca="1">IF(OR(M47="住宅",J51&lt;L48,J56="是"),"——",J51-L48)</f>
        <v>22.520000000000003</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277</v>
      </c>
      <c r="D58" s="1182" t="s">
        <v>1425</v>
      </c>
      <c r="E58" s="1183"/>
      <c r="F58" s="1184"/>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103.2</v>
      </c>
      <c r="D59" s="1185" t="s">
        <v>1430</v>
      </c>
      <c r="E59" s="1186" t="s">
        <v>1431</v>
      </c>
      <c r="F59" s="368" t="str">
        <f ca="1">IF(项目基本情况!B11="企业","",IF(INDIRECT("'数据-取费表'!c"&amp;$G$1)="住宅",5%,IF(F49*F50*F51/12/(1+'数据-取费表'!C42)&gt;20000,12%,7%)))</f>
        <v/>
      </c>
      <c r="I59" s="1924" t="s">
        <v>1563</v>
      </c>
      <c r="J59" s="1925">
        <f ca="1">IF(OR(M47="住宅",J51&lt;L48,J56="是"),"——",ROUND(C29*J58,0))</f>
        <v>4206</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f ca="1">IF(OR(M47="住宅",J51&lt;L48,J56="是"),"0",ROUND(J59/(1+J52)^J53,0))</f>
        <v>166</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88.33</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14.89</v>
      </c>
      <c r="D62" s="1187" t="s">
        <v>1497</v>
      </c>
      <c r="E62" s="1172" t="s">
        <v>1498</v>
      </c>
      <c r="F62" s="371">
        <f t="shared" si="0"/>
        <v>6</v>
      </c>
      <c r="I62" s="1931" t="s">
        <v>1570</v>
      </c>
      <c r="J62" s="1932" t="s">
        <v>1571</v>
      </c>
      <c r="K62" s="1932" t="s">
        <v>1572</v>
      </c>
      <c r="L62" s="1932" t="s">
        <v>1573</v>
      </c>
      <c r="M62" s="1933" t="s">
        <v>1574</v>
      </c>
      <c r="O62" s="1886" t="s">
        <v>1046</v>
      </c>
      <c r="P62" s="1887" t="s">
        <v>1575</v>
      </c>
      <c r="Q62" s="1888">
        <f ca="1">Q56+Q57</f>
        <v>5471</v>
      </c>
      <c r="R62" s="1888" t="s">
        <v>1047</v>
      </c>
    </row>
    <row r="63" spans="1:18" s="1844" customFormat="1" ht="13.5" thickBot="1">
      <c r="A63" s="372"/>
      <c r="B63" s="1178"/>
      <c r="C63" s="29"/>
      <c r="D63" s="1188"/>
      <c r="E63" s="1172" t="s">
        <v>1499</v>
      </c>
      <c r="F63" s="348">
        <f t="shared" ca="1" si="0"/>
        <v>24812</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157.69999999999999</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15.8</v>
      </c>
      <c r="D65" s="1186" t="s">
        <v>1454</v>
      </c>
      <c r="E65" s="1172" t="s">
        <v>1455</v>
      </c>
      <c r="F65" s="376">
        <f t="shared" ca="1" si="0"/>
        <v>1.5E-3</v>
      </c>
      <c r="I65" s="1931" t="s">
        <v>1579</v>
      </c>
      <c r="J65" s="1932">
        <v>40</v>
      </c>
      <c r="K65" s="1932">
        <v>30</v>
      </c>
      <c r="L65" s="1932">
        <v>50</v>
      </c>
      <c r="M65" s="1934">
        <v>0.02</v>
      </c>
      <c r="O65" s="1886" t="s">
        <v>1040</v>
      </c>
      <c r="P65" s="1887" t="s">
        <v>1580</v>
      </c>
      <c r="Q65" s="1888">
        <f ca="1">C40+J29</f>
        <v>5471</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-277</v>
      </c>
      <c r="D67" s="1185" t="s">
        <v>1464</v>
      </c>
      <c r="E67" s="1190"/>
      <c r="F67" s="1191"/>
      <c r="O67" s="1896" t="s">
        <v>1042</v>
      </c>
      <c r="P67" s="1887" t="s">
        <v>1562</v>
      </c>
      <c r="Q67" s="1935">
        <f ca="1">L51</f>
        <v>-11917</v>
      </c>
      <c r="R67" s="1888" t="s">
        <v>1582</v>
      </c>
    </row>
    <row r="68" spans="1:18" s="1844" customFormat="1" ht="16.5" thickBot="1">
      <c r="A68" s="1169" t="s">
        <v>1032</v>
      </c>
      <c r="B68" s="1170" t="s">
        <v>1485</v>
      </c>
      <c r="C68" s="346">
        <f ca="1">ROUND(C67*(1-((1+F70)/(1+F68))^F69)/(F68-F70),0)</f>
        <v>-4650</v>
      </c>
      <c r="D68" s="1187" t="s">
        <v>1469</v>
      </c>
      <c r="E68" s="1172" t="s">
        <v>1470</v>
      </c>
      <c r="F68" s="357">
        <f ca="1">F40</f>
        <v>0.05</v>
      </c>
      <c r="O68" s="1896" t="s">
        <v>1043</v>
      </c>
      <c r="P68" s="1936" t="s">
        <v>1583</v>
      </c>
      <c r="Q68" s="1888">
        <f ca="1">ROUND(Q69-Q70*Q71,0)</f>
        <v>-664</v>
      </c>
      <c r="R68" s="1888" t="s">
        <v>1051</v>
      </c>
    </row>
    <row r="69" spans="1:18" s="1844" customFormat="1" ht="13.5" thickBot="1">
      <c r="A69" s="1173"/>
      <c r="B69" s="1174"/>
      <c r="C69" s="351"/>
      <c r="D69" s="1192" t="s">
        <v>1473</v>
      </c>
      <c r="E69" s="1172" t="s">
        <v>1474</v>
      </c>
      <c r="F69" s="379">
        <f ca="1">F41</f>
        <v>37.479999999999997</v>
      </c>
      <c r="O69" s="1896" t="s">
        <v>1048</v>
      </c>
      <c r="P69" s="1936" t="s">
        <v>1584</v>
      </c>
      <c r="Q69" s="1888">
        <f ca="1">C39</f>
        <v>230</v>
      </c>
      <c r="R69" s="1888" t="s">
        <v>1529</v>
      </c>
    </row>
    <row r="70" spans="1:18" s="1844" customFormat="1" ht="13.5" thickBot="1">
      <c r="A70" s="1176"/>
      <c r="B70" s="1177"/>
      <c r="C70" s="355"/>
      <c r="D70" s="1188"/>
      <c r="E70" s="1172" t="s">
        <v>1477</v>
      </c>
      <c r="F70" s="1278"/>
      <c r="O70" s="1896" t="s">
        <v>1049</v>
      </c>
      <c r="P70" s="1936" t="s">
        <v>1585</v>
      </c>
      <c r="Q70" s="1888">
        <f ca="1">C13</f>
        <v>10515</v>
      </c>
      <c r="R70" s="1888" t="s">
        <v>1529</v>
      </c>
    </row>
    <row r="71" spans="1:18" s="1844" customFormat="1" ht="13.5" thickBot="1">
      <c r="A71" s="1193" t="s">
        <v>1033</v>
      </c>
      <c r="B71" s="1194" t="s">
        <v>1487</v>
      </c>
      <c r="C71" s="382">
        <f ca="1">ROUND(C68*10000/F71,0)</f>
        <v>-2828</v>
      </c>
      <c r="D71" s="1195" t="s">
        <v>1488</v>
      </c>
      <c r="E71" s="1196" t="s">
        <v>1489</v>
      </c>
      <c r="F71" s="385">
        <f ca="1">F43</f>
        <v>16440.41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894</v>
      </c>
      <c r="D75" s="1844"/>
      <c r="E75" s="1844"/>
      <c r="F75" s="1844"/>
      <c r="K75" s="1870"/>
      <c r="L75" s="1844"/>
      <c r="O75" s="1886" t="s">
        <v>1046</v>
      </c>
      <c r="P75" s="1887" t="s">
        <v>1549</v>
      </c>
      <c r="Q75" s="1888">
        <f ca="1">Q65+Q66</f>
        <v>5471</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-2.887</v>
      </c>
    </row>
    <row r="80" spans="1:18">
      <c r="B80" s="386" t="s">
        <v>1511</v>
      </c>
      <c r="C80" s="318">
        <f ca="1">ROUND(C75/C39,3)</f>
        <v>3.887</v>
      </c>
    </row>
    <row r="81" spans="2:3">
      <c r="B81" s="314" t="s">
        <v>1512</v>
      </c>
      <c r="C81" s="282"/>
    </row>
    <row r="82" spans="2:3">
      <c r="B82" s="317" t="s">
        <v>1513</v>
      </c>
      <c r="C82" s="319">
        <f ca="1">1-C83</f>
        <v>-0.92199999999999993</v>
      </c>
    </row>
    <row r="83" spans="2:3">
      <c r="B83" s="317" t="s">
        <v>1514</v>
      </c>
      <c r="C83" s="318">
        <f ca="1">ROUND(C13/C40,3)</f>
        <v>1.9219999999999999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E3" sqref="E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194" t="s">
        <v>1403</v>
      </c>
      <c r="C6" s="1299">
        <f ca="1">ROUND(F6*F8*F7*(1-F9),0)</f>
        <v>0</v>
      </c>
      <c r="D6" s="164" t="s">
        <v>3031</v>
      </c>
      <c r="E6" s="347" t="s">
        <v>1405</v>
      </c>
      <c r="F6" s="348">
        <f ca="1">INDIRECT("'数据-取费表'!u"&amp;$G$1)</f>
        <v>0</v>
      </c>
      <c r="G6" s="1853"/>
      <c r="H6" s="1294" t="s">
        <v>1035</v>
      </c>
      <c r="I6" s="3194" t="s">
        <v>1403</v>
      </c>
      <c r="J6" s="346">
        <f ca="1">ROUND(M6*M8*M7*(1-M9),0)</f>
        <v>0</v>
      </c>
      <c r="K6" s="1836" t="s">
        <v>3032</v>
      </c>
      <c r="L6" s="347" t="s">
        <v>1405</v>
      </c>
      <c r="M6" s="348">
        <f ca="1">INDIRECT("'数据-取费表'!z"&amp;$G$1)</f>
        <v>0</v>
      </c>
    </row>
    <row r="7" spans="1:37" ht="18" customHeight="1">
      <c r="A7" s="1298"/>
      <c r="B7" s="3195"/>
      <c r="C7" s="1300"/>
      <c r="D7" s="352"/>
      <c r="E7" s="1301" t="s">
        <v>1406</v>
      </c>
      <c r="F7" s="348">
        <f ca="1">IF(INDIRECT("'数据-取费表'!ah"&amp;$G$1)="",INDIRECT("'数据-取费表'!k"&amp;$G$1),INDIRECT("'数据-取费表'!ah"&amp;$G$1))</f>
        <v>0</v>
      </c>
      <c r="G7" s="1853"/>
      <c r="H7" s="349"/>
      <c r="I7" s="3195"/>
      <c r="J7" s="351"/>
      <c r="K7" s="352"/>
      <c r="L7" s="347" t="s">
        <v>1406</v>
      </c>
      <c r="M7" s="348">
        <f ca="1">F7</f>
        <v>0</v>
      </c>
    </row>
    <row r="8" spans="1:37" ht="18" customHeight="1">
      <c r="A8" s="349"/>
      <c r="B8" s="3195"/>
      <c r="C8" s="351"/>
      <c r="D8" s="352"/>
      <c r="E8" s="347" t="s">
        <v>1407</v>
      </c>
      <c r="F8" s="348">
        <f ca="1">INDIRECT("'数据-取费表'!ai"&amp;$G$1)</f>
        <v>0</v>
      </c>
      <c r="G8" s="1853"/>
      <c r="H8" s="349"/>
      <c r="I8" s="3195"/>
      <c r="J8" s="351"/>
      <c r="K8" s="352"/>
      <c r="L8" s="347" t="s">
        <v>1407</v>
      </c>
      <c r="M8" s="348">
        <f ca="1">INDIRECT("'数据-取费表'!ai"&amp;$G$1)</f>
        <v>0</v>
      </c>
    </row>
    <row r="9" spans="1:37" ht="18" customHeight="1">
      <c r="A9" s="349"/>
      <c r="B9" s="3196"/>
      <c r="C9" s="351"/>
      <c r="D9" s="352"/>
      <c r="E9" s="347" t="s">
        <v>1408</v>
      </c>
      <c r="F9" s="357">
        <f ca="1">INDIRECT("'数据-取费表'!w"&amp;$G$1)</f>
        <v>0</v>
      </c>
      <c r="G9" s="1853"/>
      <c r="H9" s="349"/>
      <c r="I9" s="3196"/>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3042</v>
      </c>
      <c r="E10" s="358" t="s">
        <v>1410</v>
      </c>
      <c r="F10" s="1369"/>
      <c r="G10" s="1853"/>
      <c r="H10" s="1294" t="s">
        <v>1039</v>
      </c>
      <c r="I10" s="1825" t="s">
        <v>1409</v>
      </c>
      <c r="J10" s="346">
        <f ca="1">ROUND(IF(M10="押一",J6/12*M11,IF(M10="押二",J6/12*2*M11,IF(M10="押三",J6/12*3*M11,J11*M11))),0)</f>
        <v>0</v>
      </c>
      <c r="K10" s="1837" t="s">
        <v>3044</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0.03</v>
      </c>
      <c r="G20" s="1856"/>
      <c r="H20" s="1204" t="s">
        <v>1389</v>
      </c>
      <c r="I20" s="164" t="s">
        <v>1441</v>
      </c>
      <c r="J20" s="25">
        <f ca="1">ROUND(M20*M21,0)</f>
        <v>0</v>
      </c>
      <c r="K20" s="370" t="s">
        <v>1442</v>
      </c>
      <c r="L20" s="347" t="s">
        <v>1443</v>
      </c>
      <c r="M20" s="371">
        <f>'数据-取费表'!B52</f>
        <v>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0.05</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2.3999999999999998E-3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6</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3045</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192" t="s">
        <v>1548</v>
      </c>
      <c r="L53" s="3193"/>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6</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sheetPr>
    <tabColor rgb="FF92D050"/>
  </sheetPr>
  <dimension ref="A1:F13"/>
  <sheetViews>
    <sheetView workbookViewId="0">
      <selection activeCell="E3" sqref="E3"/>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2527</v>
      </c>
      <c r="B1" s="2568"/>
      <c r="C1" s="2568"/>
      <c r="D1" s="2568"/>
      <c r="E1" s="2569"/>
    </row>
    <row r="2" spans="1:6" ht="15.75">
      <c r="A2" s="2570" t="s">
        <v>2331</v>
      </c>
      <c r="B2" s="2571">
        <f ca="1">SUMIF(B6:B13,"&lt;&gt;#ref!",B6:B13)</f>
        <v>5637</v>
      </c>
      <c r="C2" s="2572" t="s">
        <v>2520</v>
      </c>
      <c r="D2" s="2573" t="s">
        <v>2521</v>
      </c>
      <c r="E2" s="2574">
        <f>SUM(E6:E13)</f>
        <v>16471.48</v>
      </c>
    </row>
    <row r="3" spans="1:6" ht="15.75">
      <c r="A3" s="2570" t="s">
        <v>1395</v>
      </c>
      <c r="B3" s="2571">
        <f ca="1">ROUND(B2*10000/E2,0)</f>
        <v>3422</v>
      </c>
      <c r="C3" s="2572" t="s">
        <v>2528</v>
      </c>
      <c r="D3" s="2575"/>
      <c r="E3" s="2576"/>
    </row>
    <row r="4" spans="1:6" ht="15.75">
      <c r="A4" s="2577"/>
      <c r="B4" s="2575"/>
      <c r="C4" s="2575"/>
      <c r="D4" s="2575"/>
      <c r="E4" s="2576"/>
    </row>
    <row r="5" spans="1:6" ht="15">
      <c r="A5" s="2578" t="s">
        <v>2522</v>
      </c>
      <c r="B5" s="3197" t="s">
        <v>2523</v>
      </c>
      <c r="C5" s="3197"/>
      <c r="D5" s="2579"/>
      <c r="E5" s="2580" t="s">
        <v>2524</v>
      </c>
      <c r="F5" s="2581" t="s">
        <v>2525</v>
      </c>
    </row>
    <row r="6" spans="1:6">
      <c r="A6" s="2582" t="str">
        <f>'数据-取费表'!AN6</f>
        <v>收益法</v>
      </c>
      <c r="B6" s="2581">
        <f ca="1">IF(F6="是",'数据-取费表'!AO6,0)</f>
        <v>5637</v>
      </c>
      <c r="C6" s="2572" t="s">
        <v>2520</v>
      </c>
      <c r="D6" s="2575"/>
      <c r="E6" s="2583">
        <f>IF(OR(A6=0,F6="否"),0,'数据-取费表'!K6+'数据-取费表'!S6)</f>
        <v>16471.48</v>
      </c>
      <c r="F6" s="2584" t="s">
        <v>2526</v>
      </c>
    </row>
    <row r="7" spans="1:6">
      <c r="A7" s="2582">
        <f>'数据-取费表'!AN7</f>
        <v>0</v>
      </c>
      <c r="B7" s="2581" t="e">
        <f ca="1">IF(F7="是",'数据-取费表'!AO7,0)</f>
        <v>#REF!</v>
      </c>
      <c r="C7" s="2572" t="s">
        <v>2520</v>
      </c>
      <c r="D7" s="2575"/>
      <c r="E7" s="2583">
        <f>IF(OR(A7=0,F7="否"),0,'数据-取费表'!K7+'数据-取费表'!S7)</f>
        <v>0</v>
      </c>
      <c r="F7" s="2584" t="s">
        <v>2526</v>
      </c>
    </row>
    <row r="8" spans="1:6">
      <c r="A8" s="2582">
        <f>'数据-取费表'!AN8</f>
        <v>0</v>
      </c>
      <c r="B8" s="2581" t="e">
        <f ca="1">IF(F8="是",'数据-取费表'!AO8,0)</f>
        <v>#REF!</v>
      </c>
      <c r="C8" s="2572" t="s">
        <v>2520</v>
      </c>
      <c r="D8" s="2575"/>
      <c r="E8" s="2583">
        <f>IF(OR(A8=0,F8="否"),0,'数据-取费表'!K8+'数据-取费表'!S8)</f>
        <v>0</v>
      </c>
      <c r="F8" s="2584" t="s">
        <v>2526</v>
      </c>
    </row>
    <row r="9" spans="1:6">
      <c r="A9" s="2582">
        <f>'数据-取费表'!AN9</f>
        <v>0</v>
      </c>
      <c r="B9" s="2581" t="e">
        <f ca="1">IF(F9="是",'数据-取费表'!AO9,0)</f>
        <v>#REF!</v>
      </c>
      <c r="C9" s="2572" t="s">
        <v>2520</v>
      </c>
      <c r="D9" s="2575"/>
      <c r="E9" s="2583">
        <f>IF(OR(A9=0,F9="否"),0,'数据-取费表'!K9+'数据-取费表'!S9)</f>
        <v>0</v>
      </c>
      <c r="F9" s="2584" t="s">
        <v>2526</v>
      </c>
    </row>
    <row r="10" spans="1:6">
      <c r="A10" s="2582">
        <f>'数据-取费表'!AN10</f>
        <v>0</v>
      </c>
      <c r="B10" s="2581" t="e">
        <f ca="1">IF(F10="是",'数据-取费表'!AO10,0)</f>
        <v>#REF!</v>
      </c>
      <c r="C10" s="2572" t="s">
        <v>2520</v>
      </c>
      <c r="D10" s="2575"/>
      <c r="E10" s="2583">
        <f>IF(OR(A10=0,F10="否"),0,'数据-取费表'!K10+'数据-取费表'!S10)</f>
        <v>0</v>
      </c>
      <c r="F10" s="2584" t="s">
        <v>2526</v>
      </c>
    </row>
    <row r="11" spans="1:6">
      <c r="A11" s="2582">
        <f>'数据-取费表'!AN11</f>
        <v>0</v>
      </c>
      <c r="B11" s="2581" t="e">
        <f ca="1">IF(F11="是",'数据-取费表'!AO11,0)</f>
        <v>#REF!</v>
      </c>
      <c r="C11" s="2572" t="s">
        <v>2520</v>
      </c>
      <c r="D11" s="2575"/>
      <c r="E11" s="2583">
        <f>IF(OR(A11=0,F11="否"),0,'数据-取费表'!K11+'数据-取费表'!S11)</f>
        <v>0</v>
      </c>
      <c r="F11" s="2584" t="s">
        <v>2526</v>
      </c>
    </row>
    <row r="12" spans="1:6">
      <c r="A12" s="2582">
        <f>'数据-取费表'!AN12</f>
        <v>0</v>
      </c>
      <c r="B12" s="2581" t="e">
        <f ca="1">IF(F12="是",'数据-取费表'!AO12,0)</f>
        <v>#REF!</v>
      </c>
      <c r="C12" s="2572" t="s">
        <v>2520</v>
      </c>
      <c r="D12" s="2575"/>
      <c r="E12" s="2583">
        <f>IF(OR(A12=0,F12="否"),0,'数据-取费表'!K12+'数据-取费表'!S12)</f>
        <v>0</v>
      </c>
      <c r="F12" s="2584" t="s">
        <v>2526</v>
      </c>
    </row>
    <row r="13" spans="1:6" ht="15" thickBot="1">
      <c r="A13" s="2585">
        <f>'数据-取费表'!AN13</f>
        <v>0</v>
      </c>
      <c r="B13" s="2581" t="e">
        <f ca="1">IF(F13="是",'数据-取费表'!AO13,0)</f>
        <v>#REF!</v>
      </c>
      <c r="C13" s="2586" t="s">
        <v>2520</v>
      </c>
      <c r="D13" s="2587"/>
      <c r="E13" s="2583">
        <f>IF(OR(A13=0,F13="否"),0,'数据-取费表'!K13+'数据-取费表'!S13)</f>
        <v>0</v>
      </c>
      <c r="F13" s="258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198" t="s">
        <v>1076</v>
      </c>
      <c r="B1" s="3199"/>
      <c r="C1" s="3200"/>
      <c r="D1" s="3201">
        <f>SUM(I10,I15,I20,I21,I23)</f>
        <v>0</v>
      </c>
      <c r="E1" s="3201"/>
      <c r="F1" s="3201"/>
      <c r="G1" s="3201"/>
      <c r="H1" s="3201"/>
      <c r="I1" s="3202"/>
    </row>
    <row r="2" spans="1:9">
      <c r="A2" s="3203" t="s">
        <v>1077</v>
      </c>
      <c r="B2" s="3204" t="s">
        <v>1078</v>
      </c>
      <c r="C2" s="3204"/>
      <c r="D2" s="1304" t="s">
        <v>1079</v>
      </c>
      <c r="E2" s="1304" t="s">
        <v>1080</v>
      </c>
      <c r="F2" s="1304" t="s">
        <v>1081</v>
      </c>
      <c r="G2" s="1304" t="s">
        <v>1082</v>
      </c>
      <c r="H2" s="1304" t="s">
        <v>1083</v>
      </c>
      <c r="I2" s="1305" t="s">
        <v>1084</v>
      </c>
    </row>
    <row r="3" spans="1:9">
      <c r="A3" s="3203"/>
      <c r="B3" s="3204" t="s">
        <v>1085</v>
      </c>
      <c r="C3" s="3204"/>
      <c r="D3" s="1306"/>
      <c r="E3" s="1304"/>
      <c r="F3" s="1307"/>
      <c r="G3" s="1307"/>
      <c r="H3" s="1308"/>
      <c r="I3" s="1309">
        <f>ROUND(D3*E3*F3*G3*H3/10000,0)</f>
        <v>0</v>
      </c>
    </row>
    <row r="4" spans="1:9">
      <c r="A4" s="3203"/>
      <c r="B4" s="3204" t="s">
        <v>1086</v>
      </c>
      <c r="C4" s="3204"/>
      <c r="D4" s="1306"/>
      <c r="E4" s="1304"/>
      <c r="F4" s="1307"/>
      <c r="G4" s="1307"/>
      <c r="H4" s="1308"/>
      <c r="I4" s="1309">
        <f t="shared" ref="I4:I9" si="0">ROUND(D4*E4*F4*G4*H4/10000,0)</f>
        <v>0</v>
      </c>
    </row>
    <row r="5" spans="1:9">
      <c r="A5" s="3203"/>
      <c r="B5" s="3204" t="s">
        <v>1087</v>
      </c>
      <c r="C5" s="3204"/>
      <c r="D5" s="1306"/>
      <c r="E5" s="1304"/>
      <c r="F5" s="1307"/>
      <c r="G5" s="1307"/>
      <c r="H5" s="1308"/>
      <c r="I5" s="1309">
        <f t="shared" si="0"/>
        <v>0</v>
      </c>
    </row>
    <row r="6" spans="1:9">
      <c r="A6" s="3203"/>
      <c r="B6" s="3204" t="s">
        <v>1088</v>
      </c>
      <c r="C6" s="3204"/>
      <c r="D6" s="1306"/>
      <c r="E6" s="1304"/>
      <c r="F6" s="1307"/>
      <c r="G6" s="1307"/>
      <c r="H6" s="1308"/>
      <c r="I6" s="1309">
        <f t="shared" si="0"/>
        <v>0</v>
      </c>
    </row>
    <row r="7" spans="1:9">
      <c r="A7" s="3203"/>
      <c r="B7" s="3204" t="s">
        <v>1089</v>
      </c>
      <c r="C7" s="3204"/>
      <c r="D7" s="1306"/>
      <c r="E7" s="1304"/>
      <c r="F7" s="1307"/>
      <c r="G7" s="1307"/>
      <c r="H7" s="1308"/>
      <c r="I7" s="1309">
        <f t="shared" si="0"/>
        <v>0</v>
      </c>
    </row>
    <row r="8" spans="1:9">
      <c r="A8" s="3203"/>
      <c r="B8" s="3204" t="s">
        <v>1090</v>
      </c>
      <c r="C8" s="3204"/>
      <c r="D8" s="1306"/>
      <c r="E8" s="1304"/>
      <c r="F8" s="1307"/>
      <c r="G8" s="1307"/>
      <c r="H8" s="1308"/>
      <c r="I8" s="1309">
        <f t="shared" si="0"/>
        <v>0</v>
      </c>
    </row>
    <row r="9" spans="1:9">
      <c r="A9" s="3203"/>
      <c r="B9" s="3204" t="s">
        <v>1091</v>
      </c>
      <c r="C9" s="3204"/>
      <c r="D9" s="1306"/>
      <c r="E9" s="1304"/>
      <c r="F9" s="1307"/>
      <c r="G9" s="1307"/>
      <c r="H9" s="1308"/>
      <c r="I9" s="1309">
        <f t="shared" si="0"/>
        <v>0</v>
      </c>
    </row>
    <row r="10" spans="1:9">
      <c r="A10" s="3203"/>
      <c r="B10" s="3205" t="s">
        <v>1092</v>
      </c>
      <c r="C10" s="3205"/>
      <c r="D10" s="1310"/>
      <c r="E10" s="1310" t="e">
        <f>ROUND(D1*10000/D10/H9,0)</f>
        <v>#DIV/0!</v>
      </c>
      <c r="F10" s="1311"/>
      <c r="G10" s="1311"/>
      <c r="H10" s="1312"/>
      <c r="I10" s="1313">
        <f>SUM(I3:I9)</f>
        <v>0</v>
      </c>
    </row>
    <row r="11" spans="1:9" ht="14.25">
      <c r="A11" s="3203" t="s">
        <v>1093</v>
      </c>
      <c r="B11" s="3204" t="s">
        <v>1094</v>
      </c>
      <c r="C11" s="3204"/>
      <c r="D11" s="1306" t="s">
        <v>1095</v>
      </c>
      <c r="E11" s="1306" t="s">
        <v>1096</v>
      </c>
      <c r="F11" s="1307" t="s">
        <v>1097</v>
      </c>
      <c r="G11" s="1307" t="s">
        <v>1083</v>
      </c>
      <c r="H11" s="1314" t="s">
        <v>1098</v>
      </c>
      <c r="I11" s="1305" t="s">
        <v>1084</v>
      </c>
    </row>
    <row r="12" spans="1:9">
      <c r="A12" s="3203"/>
      <c r="B12" s="3204" t="s">
        <v>1099</v>
      </c>
      <c r="C12" s="3204"/>
      <c r="D12" s="1306"/>
      <c r="E12" s="1306"/>
      <c r="F12" s="1307"/>
      <c r="G12" s="1308"/>
      <c r="H12" s="1315"/>
      <c r="I12" s="1305">
        <f>ROUND(D12*E12*F12*G12/10000,0)</f>
        <v>0</v>
      </c>
    </row>
    <row r="13" spans="1:9">
      <c r="A13" s="3203"/>
      <c r="B13" s="3204" t="s">
        <v>1100</v>
      </c>
      <c r="C13" s="3204"/>
      <c r="D13" s="1306"/>
      <c r="E13" s="1306"/>
      <c r="F13" s="1307"/>
      <c r="G13" s="1308"/>
      <c r="H13" s="1315"/>
      <c r="I13" s="1305">
        <f>ROUND(D13*E13*F13*G13/10000,0)</f>
        <v>0</v>
      </c>
    </row>
    <row r="14" spans="1:9">
      <c r="A14" s="3203"/>
      <c r="B14" s="3204" t="s">
        <v>1101</v>
      </c>
      <c r="C14" s="3204"/>
      <c r="D14" s="1306"/>
      <c r="E14" s="1306"/>
      <c r="F14" s="1307"/>
      <c r="G14" s="1308"/>
      <c r="H14" s="1315"/>
      <c r="I14" s="1305">
        <f>ROUND(D14*E14*F14*G14/10000,0)</f>
        <v>0</v>
      </c>
    </row>
    <row r="15" spans="1:9">
      <c r="A15" s="3203"/>
      <c r="B15" s="3205" t="s">
        <v>1092</v>
      </c>
      <c r="C15" s="3205"/>
      <c r="D15" s="1310"/>
      <c r="E15" s="1310">
        <f>SUM(E12:E14)</f>
        <v>0</v>
      </c>
      <c r="F15" s="1311"/>
      <c r="G15" s="1308"/>
      <c r="H15" s="1315"/>
      <c r="I15" s="1316">
        <f>SUM(I12:I14)</f>
        <v>0</v>
      </c>
    </row>
    <row r="16" spans="1:9" ht="24">
      <c r="A16" s="3203" t="s">
        <v>1102</v>
      </c>
      <c r="B16" s="3204" t="s">
        <v>1103</v>
      </c>
      <c r="C16" s="3204"/>
      <c r="D16" s="1306" t="s">
        <v>1079</v>
      </c>
      <c r="E16" s="1317" t="s">
        <v>1104</v>
      </c>
      <c r="F16" s="1307" t="s">
        <v>1105</v>
      </c>
      <c r="G16" s="1308" t="s">
        <v>1083</v>
      </c>
      <c r="H16" s="1314" t="s">
        <v>1098</v>
      </c>
      <c r="I16" s="1305" t="s">
        <v>1084</v>
      </c>
    </row>
    <row r="17" spans="1:9" ht="14.25">
      <c r="A17" s="3203"/>
      <c r="B17" s="3204" t="s">
        <v>1106</v>
      </c>
      <c r="C17" s="3204"/>
      <c r="D17" s="1306"/>
      <c r="E17" s="1306"/>
      <c r="F17" s="1307"/>
      <c r="G17" s="1308"/>
      <c r="H17" s="1318"/>
      <c r="I17" s="1319">
        <f>ROUND(D17*E17*F17*G17/10000,0)</f>
        <v>0</v>
      </c>
    </row>
    <row r="18" spans="1:9" ht="14.25">
      <c r="A18" s="3203"/>
      <c r="B18" s="3204" t="s">
        <v>1107</v>
      </c>
      <c r="C18" s="3204"/>
      <c r="D18" s="1306"/>
      <c r="E18" s="1306"/>
      <c r="F18" s="1307"/>
      <c r="G18" s="1308"/>
      <c r="H18" s="1318"/>
      <c r="I18" s="1319">
        <f>ROUND(D18*E18*F18*G18/10000,0)</f>
        <v>0</v>
      </c>
    </row>
    <row r="19" spans="1:9" ht="14.25">
      <c r="A19" s="3203"/>
      <c r="B19" s="3204" t="s">
        <v>1108</v>
      </c>
      <c r="C19" s="3204"/>
      <c r="D19" s="1306"/>
      <c r="E19" s="1306"/>
      <c r="F19" s="1307"/>
      <c r="G19" s="1308"/>
      <c r="H19" s="1318"/>
      <c r="I19" s="1319">
        <f>ROUND(D19*E19*F19*G19/10000,0)</f>
        <v>0</v>
      </c>
    </row>
    <row r="20" spans="1:9">
      <c r="A20" s="3203"/>
      <c r="B20" s="3205" t="s">
        <v>1092</v>
      </c>
      <c r="C20" s="3205"/>
      <c r="D20" s="1310">
        <f>SUM(D17:D19)</f>
        <v>0</v>
      </c>
      <c r="E20" s="1310"/>
      <c r="F20" s="1311"/>
      <c r="G20" s="1308"/>
      <c r="H20" s="1315"/>
      <c r="I20" s="1316">
        <f>SUM(I17:I19)</f>
        <v>0</v>
      </c>
    </row>
    <row r="21" spans="1:9">
      <c r="A21" s="3203" t="s">
        <v>1109</v>
      </c>
      <c r="B21" s="3207"/>
      <c r="C21" s="3207"/>
      <c r="D21" s="3207"/>
      <c r="E21" s="3207"/>
      <c r="F21" s="3207"/>
      <c r="G21" s="3207"/>
      <c r="H21" s="1767">
        <v>0.1</v>
      </c>
      <c r="I21" s="1313">
        <f>ROUND(I10*H21,0)</f>
        <v>0</v>
      </c>
    </row>
    <row r="22" spans="1:9" ht="14.25">
      <c r="A22" s="3208" t="s">
        <v>1110</v>
      </c>
      <c r="B22" s="3209"/>
      <c r="C22" s="3210"/>
      <c r="D22" s="1320" t="s">
        <v>1111</v>
      </c>
      <c r="E22" s="1320" t="s">
        <v>1112</v>
      </c>
      <c r="F22" s="1321" t="s">
        <v>1113</v>
      </c>
      <c r="G22" s="1321" t="s">
        <v>1114</v>
      </c>
      <c r="H22" s="1314" t="s">
        <v>1115</v>
      </c>
      <c r="I22" s="1305" t="s">
        <v>1116</v>
      </c>
    </row>
    <row r="23" spans="1:9" ht="14.25" thickBot="1">
      <c r="A23" s="3211"/>
      <c r="B23" s="3212"/>
      <c r="C23" s="3213"/>
      <c r="D23" s="1322"/>
      <c r="E23" s="1322"/>
      <c r="F23" s="1322"/>
      <c r="G23" s="1323"/>
      <c r="H23" s="1324"/>
      <c r="I23" s="1325">
        <f>ROUND(E23*D23*F23*(1-G23)/10000,0)</f>
        <v>0</v>
      </c>
    </row>
    <row r="26" spans="1:9">
      <c r="A26" s="1326" t="s">
        <v>1117</v>
      </c>
      <c r="B26" s="1326"/>
      <c r="C26" s="1326"/>
      <c r="D26" s="1326"/>
      <c r="E26" s="3214">
        <f>C27-C30-C31-C32</f>
        <v>0</v>
      </c>
      <c r="F26" s="3214"/>
      <c r="G26" s="3214"/>
      <c r="H26" s="1739" t="s">
        <v>1340</v>
      </c>
    </row>
    <row r="27" spans="1:9">
      <c r="A27" s="1327">
        <v>1</v>
      </c>
      <c r="B27" s="1328" t="s">
        <v>1118</v>
      </c>
      <c r="C27" s="1328">
        <f>C28+C29</f>
        <v>0</v>
      </c>
      <c r="D27" s="1328"/>
      <c r="E27" s="3215"/>
      <c r="F27" s="3215"/>
      <c r="G27" s="3215"/>
    </row>
    <row r="28" spans="1:9">
      <c r="A28" s="1329" t="s">
        <v>1119</v>
      </c>
      <c r="B28" s="1328" t="s">
        <v>1120</v>
      </c>
      <c r="C28" s="1328"/>
      <c r="D28" s="1328"/>
      <c r="E28" s="3215"/>
      <c r="F28" s="3215"/>
      <c r="G28" s="321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6"/>
      <c r="F32" s="3206"/>
      <c r="G32" s="3206"/>
    </row>
    <row r="33" spans="1:7" hidden="1">
      <c r="A33" s="3216" t="s">
        <v>1129</v>
      </c>
      <c r="B33" s="3217"/>
      <c r="C33" s="3217"/>
      <c r="D33" s="3218"/>
      <c r="E33" s="3214"/>
      <c r="F33" s="3214"/>
      <c r="G33" s="3214"/>
    </row>
    <row r="34" spans="1:7" hidden="1">
      <c r="A34" s="1331">
        <v>1</v>
      </c>
      <c r="B34" s="1328" t="s">
        <v>1130</v>
      </c>
      <c r="C34" s="1328"/>
      <c r="D34" s="1328"/>
      <c r="E34" s="3215"/>
      <c r="F34" s="3215"/>
      <c r="G34" s="3215"/>
    </row>
    <row r="35" spans="1:7" hidden="1">
      <c r="A35" s="1331">
        <v>2</v>
      </c>
      <c r="B35" s="1328" t="s">
        <v>1131</v>
      </c>
      <c r="C35" s="1328"/>
      <c r="D35" s="1328"/>
      <c r="E35" s="3215"/>
      <c r="F35" s="3215"/>
      <c r="G35" s="3215"/>
    </row>
    <row r="36" spans="1:7" hidden="1">
      <c r="A36" s="1331">
        <v>3</v>
      </c>
      <c r="B36" s="1328" t="s">
        <v>1132</v>
      </c>
      <c r="C36" s="1328"/>
      <c r="D36" s="1328"/>
      <c r="E36" s="3215"/>
      <c r="F36" s="3215"/>
      <c r="G36" s="3215"/>
    </row>
    <row r="37" spans="1:7" hidden="1">
      <c r="A37" s="1331">
        <v>4</v>
      </c>
      <c r="B37" s="1328" t="s">
        <v>1133</v>
      </c>
      <c r="C37" s="1328"/>
      <c r="D37" s="1328"/>
      <c r="E37" s="3215"/>
      <c r="F37" s="3215"/>
      <c r="G37" s="3215"/>
    </row>
    <row r="38" spans="1:7" hidden="1">
      <c r="A38" s="3216" t="s">
        <v>1134</v>
      </c>
      <c r="B38" s="3217"/>
      <c r="C38" s="3217"/>
      <c r="D38" s="3218"/>
      <c r="E38" s="3214"/>
      <c r="F38" s="3214"/>
      <c r="G38" s="32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3" sqref="E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8" t="s">
        <v>2530</v>
      </c>
      <c r="C1" s="1636" t="s">
        <v>2531</v>
      </c>
      <c r="D1" s="1623"/>
      <c r="E1" s="2589"/>
      <c r="F1" s="2590" t="s">
        <v>2532</v>
      </c>
      <c r="G1" s="1633" t="s">
        <v>2533</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92"/>
      <c r="D2" s="1368" t="e">
        <f ca="1">SUMIF(INDIRECT("'"&amp;F2&amp;"'"&amp;"!A:A"),"承租人权益价值",INDIRECT("'"&amp;F2&amp;"'"&amp;"!c:c"))</f>
        <v>#REF!</v>
      </c>
      <c r="E2" s="2593" t="s">
        <v>2534</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2535</v>
      </c>
      <c r="D3" s="399">
        <f>IF(D1="",'数据-汇总表'!E3,SUMIF('数据-汇总表'!$C19:$C33,D1,'数据-汇总表'!$E19:$E33))</f>
        <v>16471.48</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2536</v>
      </c>
      <c r="B4" s="402"/>
      <c r="C4" s="3167" t="s">
        <v>2537</v>
      </c>
      <c r="D4" s="3168"/>
      <c r="E4" s="3169" t="s">
        <v>2538</v>
      </c>
      <c r="F4" s="3170"/>
      <c r="G4" s="3167" t="s">
        <v>2539</v>
      </c>
      <c r="H4" s="3168"/>
      <c r="I4" s="3167" t="s">
        <v>2540</v>
      </c>
      <c r="J4" s="3168"/>
      <c r="K4" s="2602" t="s">
        <v>2541</v>
      </c>
      <c r="L4" s="1133"/>
      <c r="M4" s="1134"/>
      <c r="N4" s="1134"/>
      <c r="O4" s="1134"/>
      <c r="P4" s="3171" t="s">
        <v>2542</v>
      </c>
      <c r="Q4" s="3172"/>
      <c r="R4" s="3154" t="s">
        <v>2538</v>
      </c>
      <c r="S4" s="3155"/>
      <c r="T4" s="3154" t="s">
        <v>2539</v>
      </c>
      <c r="U4" s="3155"/>
      <c r="V4" s="3179" t="s">
        <v>2540</v>
      </c>
      <c r="W4" s="3179"/>
      <c r="X4" s="1815"/>
      <c r="Y4" s="3154" t="s">
        <v>2542</v>
      </c>
      <c r="Z4" s="3155"/>
      <c r="AA4" s="3149" t="s">
        <v>2538</v>
      </c>
      <c r="AB4" s="3149" t="s">
        <v>2539</v>
      </c>
      <c r="AC4" s="3149" t="s">
        <v>2540</v>
      </c>
    </row>
    <row r="5" spans="1:29" ht="15">
      <c r="A5" s="404"/>
      <c r="B5" s="405"/>
      <c r="C5" s="3160" t="s">
        <v>2543</v>
      </c>
      <c r="D5" s="3161"/>
      <c r="E5" s="3158" t="s">
        <v>2544</v>
      </c>
      <c r="F5" s="3159"/>
      <c r="G5" s="3160" t="s">
        <v>2545</v>
      </c>
      <c r="H5" s="3161"/>
      <c r="I5" s="3160" t="s">
        <v>2546</v>
      </c>
      <c r="J5" s="3161"/>
      <c r="K5" s="2603"/>
      <c r="L5" s="1133"/>
      <c r="M5" s="1134"/>
      <c r="N5" s="1134"/>
      <c r="O5" s="1134"/>
      <c r="P5" s="3173"/>
      <c r="Q5" s="3174"/>
      <c r="R5" s="3156"/>
      <c r="S5" s="3157"/>
      <c r="T5" s="3156"/>
      <c r="U5" s="3157"/>
      <c r="V5" s="3179"/>
      <c r="W5" s="3179"/>
      <c r="X5" s="1815"/>
      <c r="Y5" s="3156"/>
      <c r="Z5" s="3157"/>
      <c r="AA5" s="3150"/>
      <c r="AB5" s="3150"/>
      <c r="AC5" s="3150"/>
    </row>
    <row r="6" spans="1:29" ht="15.75" thickBot="1">
      <c r="A6" s="406"/>
      <c r="B6" s="407"/>
      <c r="C6" s="3162" t="s">
        <v>2547</v>
      </c>
      <c r="D6" s="3163"/>
      <c r="E6" s="3164" t="s">
        <v>2547</v>
      </c>
      <c r="F6" s="3165"/>
      <c r="G6" s="3162" t="s">
        <v>2547</v>
      </c>
      <c r="H6" s="3163"/>
      <c r="I6" s="3162" t="s">
        <v>2547</v>
      </c>
      <c r="J6" s="3163"/>
      <c r="K6" s="2603" t="s">
        <v>2548</v>
      </c>
      <c r="L6" s="1133"/>
      <c r="M6" s="1134"/>
      <c r="N6" s="1134"/>
      <c r="O6" s="1134"/>
      <c r="P6" s="3175"/>
      <c r="Q6" s="3176"/>
      <c r="R6" s="3156"/>
      <c r="S6" s="3157"/>
      <c r="T6" s="3177"/>
      <c r="U6" s="3178"/>
      <c r="V6" s="3179"/>
      <c r="W6" s="3179"/>
      <c r="X6" s="1815"/>
      <c r="Y6" s="3177"/>
      <c r="Z6" s="3178"/>
      <c r="AA6" s="3151"/>
      <c r="AB6" s="3151"/>
      <c r="AC6" s="3151"/>
    </row>
    <row r="7" spans="1:29" s="117" customFormat="1" ht="15.75" thickBot="1">
      <c r="A7" s="408" t="s">
        <v>2549</v>
      </c>
      <c r="B7" s="409"/>
      <c r="C7" s="410">
        <f>'数据-取费表'!B2</f>
        <v>43416</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52" t="s">
        <v>2550</v>
      </c>
      <c r="Q7" s="3180"/>
      <c r="R7" s="770" t="s">
        <v>23</v>
      </c>
      <c r="S7" s="771">
        <f t="shared" ref="S7:S15" si="0">F7</f>
        <v>0</v>
      </c>
      <c r="T7" s="770" t="s">
        <v>23</v>
      </c>
      <c r="U7" s="771">
        <f t="shared" ref="U7:U15" si="1">H7</f>
        <v>0</v>
      </c>
      <c r="V7" s="770" t="s">
        <v>23</v>
      </c>
      <c r="W7" s="771">
        <f t="shared" ref="W7:W15" si="2">J7</f>
        <v>0</v>
      </c>
      <c r="X7" s="772"/>
      <c r="Y7" s="3152" t="s">
        <v>2550</v>
      </c>
      <c r="Z7" s="3153"/>
      <c r="AA7" s="773" t="e">
        <f>D7/F7</f>
        <v>#DIV/0!</v>
      </c>
      <c r="AB7" s="773" t="e">
        <f>D7/H7</f>
        <v>#DIV/0!</v>
      </c>
      <c r="AC7" s="773" t="e">
        <f>D7/J7</f>
        <v>#DIV/0!</v>
      </c>
    </row>
    <row r="8" spans="1:29" s="117" customFormat="1" ht="15.75" thickBot="1">
      <c r="A8" s="408" t="s">
        <v>2551</v>
      </c>
      <c r="B8" s="409"/>
      <c r="C8" s="414" t="s">
        <v>2552</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52" t="s">
        <v>2553</v>
      </c>
      <c r="Q8" s="3153"/>
      <c r="R8" s="770" t="s">
        <v>23</v>
      </c>
      <c r="S8" s="771">
        <f t="shared" si="0"/>
        <v>0</v>
      </c>
      <c r="T8" s="770" t="s">
        <v>23</v>
      </c>
      <c r="U8" s="771">
        <f t="shared" si="1"/>
        <v>0</v>
      </c>
      <c r="V8" s="770" t="s">
        <v>23</v>
      </c>
      <c r="W8" s="771">
        <f t="shared" si="2"/>
        <v>0</v>
      </c>
      <c r="X8" s="772"/>
      <c r="Y8" s="3152" t="s">
        <v>2553</v>
      </c>
      <c r="Z8" s="3153"/>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90" t="s">
        <v>2556</v>
      </c>
      <c r="Q9" s="1797"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0"/>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0"/>
      <c r="Q11" s="1797"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90"/>
      <c r="Q12" s="1797">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90"/>
      <c r="Q13" s="1797">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90"/>
      <c r="Q14" s="1797">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2560</v>
      </c>
      <c r="B15" s="69" t="s">
        <v>2089</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5" t="s">
        <v>2561</v>
      </c>
      <c r="Q15" s="1812" t="str">
        <f t="shared" si="6"/>
        <v>居住社区成熟度</v>
      </c>
      <c r="R15" s="774" t="s">
        <v>21</v>
      </c>
      <c r="S15" s="775">
        <f t="shared" si="0"/>
        <v>100</v>
      </c>
      <c r="T15" s="774" t="s">
        <v>21</v>
      </c>
      <c r="U15" s="775">
        <f t="shared" si="1"/>
        <v>100</v>
      </c>
      <c r="V15" s="774" t="s">
        <v>21</v>
      </c>
      <c r="W15" s="775">
        <f t="shared" si="2"/>
        <v>100</v>
      </c>
      <c r="X15" s="1815"/>
      <c r="Y15" s="3181" t="s">
        <v>2561</v>
      </c>
      <c r="Z15" s="1816" t="str">
        <f t="shared" si="7"/>
        <v>居住社区成熟度</v>
      </c>
      <c r="AA15" s="1813">
        <f t="shared" si="3"/>
        <v>1</v>
      </c>
      <c r="AB15" s="1813">
        <f t="shared" si="4"/>
        <v>1</v>
      </c>
      <c r="AC15" s="1813">
        <f t="shared" si="5"/>
        <v>1</v>
      </c>
    </row>
    <row r="16" spans="1:29" ht="15">
      <c r="A16" s="428"/>
      <c r="B16" s="446"/>
      <c r="C16" s="447"/>
      <c r="D16" s="448"/>
      <c r="E16" s="2610"/>
      <c r="F16" s="448"/>
      <c r="G16" s="2611"/>
      <c r="H16" s="450"/>
      <c r="I16" s="2611"/>
      <c r="J16" s="448"/>
      <c r="K16" s="2612"/>
      <c r="L16" s="1143"/>
      <c r="M16" s="1134"/>
      <c r="N16" s="1134"/>
      <c r="O16" s="1134"/>
      <c r="P16" s="3226"/>
      <c r="Q16" s="1812"/>
      <c r="R16" s="774"/>
      <c r="S16" s="775"/>
      <c r="T16" s="774"/>
      <c r="U16" s="775"/>
      <c r="V16" s="774"/>
      <c r="W16" s="775"/>
      <c r="X16" s="1815"/>
      <c r="Y16" s="3182"/>
      <c r="Z16" s="1816"/>
      <c r="AA16" s="1813">
        <v>1</v>
      </c>
      <c r="AB16" s="1813">
        <v>1</v>
      </c>
      <c r="AC16" s="1813">
        <v>1</v>
      </c>
    </row>
    <row r="17" spans="1:29" ht="85.5">
      <c r="A17" s="428"/>
      <c r="B17" s="451" t="s">
        <v>2101</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6"/>
      <c r="Q17" s="1812" t="str">
        <f>B17</f>
        <v>交通便捷度</v>
      </c>
      <c r="R17" s="774" t="s">
        <v>21</v>
      </c>
      <c r="S17" s="775">
        <f>F17</f>
        <v>100</v>
      </c>
      <c r="T17" s="774" t="s">
        <v>21</v>
      </c>
      <c r="U17" s="775">
        <f>H17</f>
        <v>100</v>
      </c>
      <c r="V17" s="774" t="s">
        <v>21</v>
      </c>
      <c r="W17" s="775">
        <f>J17</f>
        <v>100</v>
      </c>
      <c r="X17" s="1815"/>
      <c r="Y17" s="3182"/>
      <c r="Z17" s="1816" t="str">
        <f>Q17</f>
        <v>交通便捷度</v>
      </c>
      <c r="AA17" s="1813">
        <f t="shared" si="3"/>
        <v>1</v>
      </c>
      <c r="AB17" s="1813">
        <f t="shared" si="4"/>
        <v>1</v>
      </c>
      <c r="AC17" s="1813">
        <f t="shared" si="5"/>
        <v>1</v>
      </c>
    </row>
    <row r="18" spans="1:29" ht="15">
      <c r="A18" s="428"/>
      <c r="B18" s="456"/>
      <c r="C18" s="2614"/>
      <c r="D18" s="450"/>
      <c r="E18" s="2615"/>
      <c r="F18" s="450"/>
      <c r="G18" s="2616"/>
      <c r="H18" s="448"/>
      <c r="I18" s="2616"/>
      <c r="J18" s="448"/>
      <c r="K18" s="2612"/>
      <c r="L18" s="1143"/>
      <c r="M18" s="1134"/>
      <c r="N18" s="1134"/>
      <c r="O18" s="1134"/>
      <c r="P18" s="3226"/>
      <c r="Q18" s="1812"/>
      <c r="R18" s="774"/>
      <c r="S18" s="775"/>
      <c r="T18" s="774"/>
      <c r="U18" s="775"/>
      <c r="V18" s="774"/>
      <c r="W18" s="775"/>
      <c r="X18" s="1815"/>
      <c r="Y18" s="3182"/>
      <c r="Z18" s="1816"/>
      <c r="AA18" s="1813">
        <v>1</v>
      </c>
      <c r="AB18" s="1813">
        <v>1</v>
      </c>
      <c r="AC18" s="1813">
        <v>1</v>
      </c>
    </row>
    <row r="19" spans="1:29" ht="42.75">
      <c r="A19" s="428"/>
      <c r="B19" s="451" t="s">
        <v>2099</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6"/>
      <c r="Q19" s="1812" t="str">
        <f>B19</f>
        <v>公共配套设施</v>
      </c>
      <c r="R19" s="774" t="s">
        <v>21</v>
      </c>
      <c r="S19" s="775">
        <f>F19</f>
        <v>100</v>
      </c>
      <c r="T19" s="774" t="s">
        <v>21</v>
      </c>
      <c r="U19" s="775">
        <f>H19</f>
        <v>100</v>
      </c>
      <c r="V19" s="774" t="s">
        <v>21</v>
      </c>
      <c r="W19" s="775">
        <f>J19</f>
        <v>100</v>
      </c>
      <c r="X19" s="1815"/>
      <c r="Y19" s="3182"/>
      <c r="Z19" s="1816" t="str">
        <f>Q19</f>
        <v>公共配套设施</v>
      </c>
      <c r="AA19" s="1813">
        <f t="shared" si="3"/>
        <v>1</v>
      </c>
      <c r="AB19" s="1813">
        <f t="shared" si="4"/>
        <v>1</v>
      </c>
      <c r="AC19" s="1813">
        <f t="shared" si="5"/>
        <v>1</v>
      </c>
    </row>
    <row r="20" spans="1:29" ht="15">
      <c r="A20" s="428"/>
      <c r="B20" s="456"/>
      <c r="C20" s="447"/>
      <c r="D20" s="448"/>
      <c r="E20" s="2610"/>
      <c r="F20" s="448"/>
      <c r="G20" s="2611"/>
      <c r="H20" s="448"/>
      <c r="I20" s="2611"/>
      <c r="J20" s="448"/>
      <c r="K20" s="2612"/>
      <c r="L20" s="1143"/>
      <c r="M20" s="1134"/>
      <c r="N20" s="1134"/>
      <c r="O20" s="1134"/>
      <c r="P20" s="3226"/>
      <c r="Q20" s="1812"/>
      <c r="R20" s="774"/>
      <c r="S20" s="775"/>
      <c r="T20" s="774"/>
      <c r="U20" s="775"/>
      <c r="V20" s="774"/>
      <c r="W20" s="775"/>
      <c r="X20" s="1815"/>
      <c r="Y20" s="3182"/>
      <c r="Z20" s="1816"/>
      <c r="AA20" s="1813">
        <v>1</v>
      </c>
      <c r="AB20" s="1813">
        <v>1</v>
      </c>
      <c r="AC20" s="1813">
        <v>1</v>
      </c>
    </row>
    <row r="21" spans="1:29" ht="28.5">
      <c r="A21" s="428"/>
      <c r="B21" s="1387" t="s">
        <v>2102</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6"/>
      <c r="Q21" s="1812" t="str">
        <f>B21</f>
        <v>基础设施水平</v>
      </c>
      <c r="R21" s="774" t="s">
        <v>17</v>
      </c>
      <c r="S21" s="775">
        <f>F21</f>
        <v>100</v>
      </c>
      <c r="T21" s="774" t="s">
        <v>17</v>
      </c>
      <c r="U21" s="775">
        <f>H21</f>
        <v>100</v>
      </c>
      <c r="V21" s="774" t="s">
        <v>17</v>
      </c>
      <c r="W21" s="775">
        <f>J21</f>
        <v>100</v>
      </c>
      <c r="X21" s="1815"/>
      <c r="Y21" s="3182"/>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8"/>
      <c r="G22" s="2617"/>
      <c r="H22" s="448"/>
      <c r="I22" s="447"/>
      <c r="J22" s="448"/>
      <c r="K22" s="2618"/>
      <c r="L22" s="1143"/>
      <c r="M22" s="1134"/>
      <c r="N22" s="1134"/>
      <c r="O22" s="1134"/>
      <c r="P22" s="3226"/>
      <c r="Q22" s="1812"/>
      <c r="R22" s="774"/>
      <c r="S22" s="775"/>
      <c r="T22" s="774"/>
      <c r="U22" s="775"/>
      <c r="V22" s="774"/>
      <c r="W22" s="775"/>
      <c r="X22" s="1815"/>
      <c r="Y22" s="3182"/>
      <c r="Z22" s="1816"/>
      <c r="AA22" s="1813">
        <v>1</v>
      </c>
      <c r="AB22" s="1813">
        <v>1</v>
      </c>
      <c r="AC22" s="1813">
        <v>1</v>
      </c>
    </row>
    <row r="23" spans="1:29" ht="57">
      <c r="A23" s="428"/>
      <c r="B23" s="451" t="s">
        <v>2106</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6"/>
      <c r="Q23" s="1812" t="str">
        <f>B23</f>
        <v>自然及人文环境</v>
      </c>
      <c r="R23" s="774" t="s">
        <v>21</v>
      </c>
      <c r="S23" s="775">
        <f>F23</f>
        <v>100</v>
      </c>
      <c r="T23" s="774" t="s">
        <v>21</v>
      </c>
      <c r="U23" s="775">
        <f>H23</f>
        <v>100</v>
      </c>
      <c r="V23" s="774" t="s">
        <v>21</v>
      </c>
      <c r="W23" s="775">
        <f>J23</f>
        <v>100</v>
      </c>
      <c r="X23" s="1815"/>
      <c r="Y23" s="3182"/>
      <c r="Z23" s="1816" t="str">
        <f>Q23</f>
        <v>自然及人文环境</v>
      </c>
      <c r="AA23" s="1813">
        <f>D23/F23</f>
        <v>1</v>
      </c>
      <c r="AB23" s="1813">
        <f>D23/H23</f>
        <v>1</v>
      </c>
      <c r="AC23" s="1813">
        <f>D23/J23</f>
        <v>1</v>
      </c>
    </row>
    <row r="24" spans="1:29" ht="15">
      <c r="A24" s="428"/>
      <c r="B24" s="456"/>
      <c r="C24" s="447"/>
      <c r="D24" s="448"/>
      <c r="E24" s="2610"/>
      <c r="F24" s="448"/>
      <c r="G24" s="2611"/>
      <c r="H24" s="448"/>
      <c r="I24" s="2611"/>
      <c r="J24" s="448"/>
      <c r="K24" s="2612"/>
      <c r="L24" s="1143"/>
      <c r="M24" s="1134"/>
      <c r="N24" s="1134"/>
      <c r="O24" s="1134"/>
      <c r="P24" s="3226"/>
      <c r="Q24" s="1812"/>
      <c r="R24" s="774"/>
      <c r="S24" s="775"/>
      <c r="T24" s="774"/>
      <c r="U24" s="775"/>
      <c r="V24" s="774"/>
      <c r="W24" s="775"/>
      <c r="X24" s="1815"/>
      <c r="Y24" s="3182"/>
      <c r="Z24" s="1816"/>
      <c r="AA24" s="1813">
        <v>1</v>
      </c>
      <c r="AB24" s="1813">
        <v>1</v>
      </c>
      <c r="AC24" s="1813">
        <v>1</v>
      </c>
    </row>
    <row r="25" spans="1:29" ht="15">
      <c r="A25" s="428"/>
      <c r="B25" s="422" t="s">
        <v>2562</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26"/>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82"/>
      <c r="Z25" s="1816" t="str">
        <f>Q25</f>
        <v>楼层-1</v>
      </c>
      <c r="AA25" s="1813">
        <f t="shared" ref="AA25:AA46" si="15">D25/F25</f>
        <v>1</v>
      </c>
      <c r="AB25" s="1813">
        <f t="shared" ref="AB25:AB46" si="16">D25/H25</f>
        <v>1</v>
      </c>
      <c r="AC25" s="1813">
        <f t="shared" ref="AC25:AC46" si="17">D25/J25</f>
        <v>1</v>
      </c>
    </row>
    <row r="26" spans="1:29" ht="15">
      <c r="A26" s="428"/>
      <c r="B26" s="422" t="s">
        <v>2563</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26"/>
      <c r="Q26" s="1812" t="str">
        <f t="shared" si="11"/>
        <v>朝向</v>
      </c>
      <c r="R26" s="774" t="s">
        <v>21</v>
      </c>
      <c r="S26" s="775">
        <f t="shared" si="12"/>
        <v>100</v>
      </c>
      <c r="T26" s="774" t="s">
        <v>21</v>
      </c>
      <c r="U26" s="775">
        <f t="shared" si="13"/>
        <v>100</v>
      </c>
      <c r="V26" s="774" t="s">
        <v>21</v>
      </c>
      <c r="W26" s="775">
        <f t="shared" si="14"/>
        <v>100</v>
      </c>
      <c r="X26" s="1815"/>
      <c r="Y26" s="3182"/>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26"/>
      <c r="Q27" s="1797">
        <f t="shared" si="11"/>
        <v>111</v>
      </c>
      <c r="R27" s="770" t="s">
        <v>21</v>
      </c>
      <c r="S27" s="771">
        <f t="shared" si="12"/>
        <v>100</v>
      </c>
      <c r="T27" s="770" t="s">
        <v>21</v>
      </c>
      <c r="U27" s="771">
        <f t="shared" si="13"/>
        <v>100</v>
      </c>
      <c r="V27" s="770" t="s">
        <v>21</v>
      </c>
      <c r="W27" s="771">
        <f t="shared" si="14"/>
        <v>100</v>
      </c>
      <c r="X27" s="772"/>
      <c r="Y27" s="3182"/>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26"/>
      <c r="Q28" s="1812">
        <f t="shared" si="11"/>
        <v>111</v>
      </c>
      <c r="R28" s="774" t="s">
        <v>21</v>
      </c>
      <c r="S28" s="775">
        <f t="shared" si="12"/>
        <v>100</v>
      </c>
      <c r="T28" s="774" t="s">
        <v>21</v>
      </c>
      <c r="U28" s="775">
        <f t="shared" si="13"/>
        <v>100</v>
      </c>
      <c r="V28" s="774" t="s">
        <v>21</v>
      </c>
      <c r="W28" s="775">
        <f t="shared" si="14"/>
        <v>100</v>
      </c>
      <c r="X28" s="1815"/>
      <c r="Y28" s="3182"/>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26"/>
      <c r="Q29" s="1812">
        <f t="shared" si="11"/>
        <v>111</v>
      </c>
      <c r="R29" s="774" t="s">
        <v>21</v>
      </c>
      <c r="S29" s="775">
        <f t="shared" si="12"/>
        <v>100</v>
      </c>
      <c r="T29" s="774" t="s">
        <v>21</v>
      </c>
      <c r="U29" s="775">
        <f t="shared" si="13"/>
        <v>100</v>
      </c>
      <c r="V29" s="774" t="s">
        <v>21</v>
      </c>
      <c r="W29" s="775">
        <f t="shared" si="14"/>
        <v>100</v>
      </c>
      <c r="X29" s="1815"/>
      <c r="Y29" s="3182"/>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26"/>
      <c r="Q30" s="1812">
        <f t="shared" si="11"/>
        <v>111</v>
      </c>
      <c r="R30" s="774" t="s">
        <v>21</v>
      </c>
      <c r="S30" s="775">
        <f t="shared" si="12"/>
        <v>100</v>
      </c>
      <c r="T30" s="774" t="s">
        <v>21</v>
      </c>
      <c r="U30" s="775">
        <f t="shared" si="13"/>
        <v>100</v>
      </c>
      <c r="V30" s="774" t="s">
        <v>21</v>
      </c>
      <c r="W30" s="775">
        <f t="shared" si="14"/>
        <v>100</v>
      </c>
      <c r="X30" s="1815"/>
      <c r="Y30" s="3182"/>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26"/>
      <c r="Q31" s="1812">
        <f t="shared" si="11"/>
        <v>111</v>
      </c>
      <c r="R31" s="774" t="s">
        <v>21</v>
      </c>
      <c r="S31" s="775">
        <f t="shared" si="12"/>
        <v>100</v>
      </c>
      <c r="T31" s="774" t="s">
        <v>21</v>
      </c>
      <c r="U31" s="775">
        <f t="shared" si="13"/>
        <v>100</v>
      </c>
      <c r="V31" s="774" t="s">
        <v>21</v>
      </c>
      <c r="W31" s="775">
        <f t="shared" si="14"/>
        <v>100</v>
      </c>
      <c r="X31" s="1815"/>
      <c r="Y31" s="3182"/>
      <c r="Z31" s="1816">
        <f t="shared" si="18"/>
        <v>111</v>
      </c>
      <c r="AA31" s="1813">
        <f t="shared" si="15"/>
        <v>1</v>
      </c>
      <c r="AB31" s="1813">
        <f t="shared" si="16"/>
        <v>1</v>
      </c>
      <c r="AC31" s="1813">
        <f t="shared" si="17"/>
        <v>1</v>
      </c>
    </row>
    <row r="32" spans="1:29" ht="15">
      <c r="A32" s="440" t="s">
        <v>2564</v>
      </c>
      <c r="B32" s="71" t="s">
        <v>2565</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21" t="s">
        <v>2566</v>
      </c>
      <c r="Q32" s="1812" t="str">
        <f t="shared" si="11"/>
        <v>建筑类型</v>
      </c>
      <c r="R32" s="774" t="s">
        <v>21</v>
      </c>
      <c r="S32" s="775">
        <f t="shared" si="12"/>
        <v>100</v>
      </c>
      <c r="T32" s="774" t="s">
        <v>21</v>
      </c>
      <c r="U32" s="775">
        <f t="shared" si="13"/>
        <v>100</v>
      </c>
      <c r="V32" s="774" t="s">
        <v>21</v>
      </c>
      <c r="W32" s="775">
        <f t="shared" si="14"/>
        <v>100</v>
      </c>
      <c r="X32" s="1815"/>
      <c r="Y32" s="3184" t="s">
        <v>2566</v>
      </c>
      <c r="Z32" s="1816" t="str">
        <f t="shared" si="18"/>
        <v>建筑类型</v>
      </c>
      <c r="AA32" s="1813">
        <f t="shared" si="15"/>
        <v>1</v>
      </c>
      <c r="AB32" s="1813">
        <f t="shared" si="16"/>
        <v>1</v>
      </c>
      <c r="AC32" s="1813">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22"/>
      <c r="Q33" s="776" t="str">
        <f t="shared" si="11"/>
        <v>项目建筑规模</v>
      </c>
      <c r="R33" s="777" t="s">
        <v>21</v>
      </c>
      <c r="S33" s="778" t="e">
        <f t="shared" si="12"/>
        <v>#N/A</v>
      </c>
      <c r="T33" s="777" t="s">
        <v>21</v>
      </c>
      <c r="U33" s="778" t="e">
        <f t="shared" si="13"/>
        <v>#N/A</v>
      </c>
      <c r="V33" s="777" t="s">
        <v>21</v>
      </c>
      <c r="W33" s="778" t="e">
        <f t="shared" si="14"/>
        <v>#N/A</v>
      </c>
      <c r="X33" s="779"/>
      <c r="Y33" s="3184"/>
      <c r="Z33" s="780" t="str">
        <f t="shared" si="18"/>
        <v>项目建筑规模</v>
      </c>
      <c r="AA33" s="1813" t="e">
        <f t="shared" si="15"/>
        <v>#N/A</v>
      </c>
      <c r="AB33" s="1813" t="e">
        <f t="shared" si="16"/>
        <v>#N/A</v>
      </c>
      <c r="AC33" s="1813" t="e">
        <f t="shared" si="17"/>
        <v>#N/A</v>
      </c>
    </row>
    <row r="34" spans="1:29" ht="15">
      <c r="A34" s="472"/>
      <c r="B34" s="422" t="s">
        <v>2568</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22"/>
      <c r="Q34" s="1812" t="str">
        <f t="shared" si="11"/>
        <v>建筑结构</v>
      </c>
      <c r="R34" s="774" t="s">
        <v>21</v>
      </c>
      <c r="S34" s="775">
        <f t="shared" si="12"/>
        <v>100</v>
      </c>
      <c r="T34" s="774" t="s">
        <v>21</v>
      </c>
      <c r="U34" s="775">
        <f t="shared" si="13"/>
        <v>100</v>
      </c>
      <c r="V34" s="774" t="s">
        <v>21</v>
      </c>
      <c r="W34" s="775">
        <f t="shared" si="14"/>
        <v>100</v>
      </c>
      <c r="X34" s="1815"/>
      <c r="Y34" s="3184"/>
      <c r="Z34" s="1816" t="str">
        <f t="shared" si="18"/>
        <v>建筑结构</v>
      </c>
      <c r="AA34" s="1813">
        <f t="shared" si="15"/>
        <v>1</v>
      </c>
      <c r="AB34" s="1813">
        <f t="shared" si="16"/>
        <v>1</v>
      </c>
      <c r="AC34" s="1813">
        <f t="shared" si="17"/>
        <v>1</v>
      </c>
    </row>
    <row r="35" spans="1:29" ht="15">
      <c r="A35" s="472"/>
      <c r="B35" s="422" t="s">
        <v>2569</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22"/>
      <c r="Q35" s="1812" t="str">
        <f t="shared" si="11"/>
        <v>建筑品质</v>
      </c>
      <c r="R35" s="774" t="s">
        <v>21</v>
      </c>
      <c r="S35" s="775">
        <f t="shared" si="12"/>
        <v>100</v>
      </c>
      <c r="T35" s="774" t="s">
        <v>21</v>
      </c>
      <c r="U35" s="775">
        <f t="shared" si="13"/>
        <v>100</v>
      </c>
      <c r="V35" s="774" t="s">
        <v>21</v>
      </c>
      <c r="W35" s="775">
        <f t="shared" si="14"/>
        <v>100</v>
      </c>
      <c r="X35" s="1815"/>
      <c r="Y35" s="3184"/>
      <c r="Z35" s="1816" t="str">
        <f t="shared" si="18"/>
        <v>建筑品质</v>
      </c>
      <c r="AA35" s="1813">
        <f t="shared" si="15"/>
        <v>1</v>
      </c>
      <c r="AB35" s="1813">
        <f t="shared" si="16"/>
        <v>1</v>
      </c>
      <c r="AC35" s="1813">
        <f t="shared" si="17"/>
        <v>1</v>
      </c>
    </row>
    <row r="36" spans="1:29" ht="15">
      <c r="A36" s="472"/>
      <c r="B36" s="422" t="s">
        <v>2570</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22"/>
      <c r="Q36" s="1812" t="str">
        <f t="shared" si="11"/>
        <v>公共部分装修</v>
      </c>
      <c r="R36" s="774" t="s">
        <v>21</v>
      </c>
      <c r="S36" s="775">
        <f t="shared" si="12"/>
        <v>100</v>
      </c>
      <c r="T36" s="774" t="s">
        <v>21</v>
      </c>
      <c r="U36" s="775">
        <f t="shared" si="13"/>
        <v>100</v>
      </c>
      <c r="V36" s="774" t="s">
        <v>21</v>
      </c>
      <c r="W36" s="775">
        <f t="shared" si="14"/>
        <v>100</v>
      </c>
      <c r="X36" s="1815"/>
      <c r="Y36" s="3184"/>
      <c r="Z36" s="1816" t="str">
        <f t="shared" si="18"/>
        <v>公共部分装修</v>
      </c>
      <c r="AA36" s="1813">
        <f t="shared" si="15"/>
        <v>1</v>
      </c>
      <c r="AB36" s="1813">
        <f t="shared" si="16"/>
        <v>1</v>
      </c>
      <c r="AC36" s="1813">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2"/>
      <c r="Q37" s="1797" t="str">
        <f t="shared" si="11"/>
        <v>成新度</v>
      </c>
      <c r="R37" s="770" t="s">
        <v>21</v>
      </c>
      <c r="S37" s="771" t="e">
        <f t="shared" si="12"/>
        <v>#N/A</v>
      </c>
      <c r="T37" s="770" t="s">
        <v>21</v>
      </c>
      <c r="U37" s="771" t="e">
        <f t="shared" si="13"/>
        <v>#N/A</v>
      </c>
      <c r="V37" s="770" t="s">
        <v>21</v>
      </c>
      <c r="W37" s="771" t="e">
        <f t="shared" si="14"/>
        <v>#N/A</v>
      </c>
      <c r="X37" s="772"/>
      <c r="Y37" s="3184"/>
      <c r="Z37" s="55" t="str">
        <f t="shared" si="18"/>
        <v>成新度</v>
      </c>
      <c r="AA37" s="773" t="e">
        <f t="shared" si="15"/>
        <v>#N/A</v>
      </c>
      <c r="AB37" s="773" t="e">
        <f t="shared" si="16"/>
        <v>#N/A</v>
      </c>
      <c r="AC37" s="773" t="e">
        <f t="shared" si="17"/>
        <v>#N/A</v>
      </c>
    </row>
    <row r="38" spans="1:29" ht="15">
      <c r="A38" s="472"/>
      <c r="B38" s="422" t="s">
        <v>2572</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22" t="s">
        <v>2566</v>
      </c>
      <c r="Q38" s="1812" t="str">
        <f t="shared" si="11"/>
        <v>物业管理</v>
      </c>
      <c r="R38" s="774" t="s">
        <v>21</v>
      </c>
      <c r="S38" s="775">
        <f t="shared" si="12"/>
        <v>100</v>
      </c>
      <c r="T38" s="774" t="s">
        <v>21</v>
      </c>
      <c r="U38" s="775">
        <f t="shared" si="13"/>
        <v>100</v>
      </c>
      <c r="V38" s="774" t="s">
        <v>21</v>
      </c>
      <c r="W38" s="775">
        <f t="shared" si="14"/>
        <v>100</v>
      </c>
      <c r="X38" s="1815"/>
      <c r="Y38" s="3184" t="s">
        <v>2566</v>
      </c>
      <c r="Z38" s="1816" t="str">
        <f t="shared" si="18"/>
        <v>物业管理</v>
      </c>
      <c r="AA38" s="1813">
        <f t="shared" si="15"/>
        <v>1</v>
      </c>
      <c r="AB38" s="1813">
        <f t="shared" si="16"/>
        <v>1</v>
      </c>
      <c r="AC38" s="1813">
        <f t="shared" si="17"/>
        <v>1</v>
      </c>
    </row>
    <row r="39" spans="1:29" ht="15">
      <c r="A39" s="472"/>
      <c r="B39" s="422" t="s">
        <v>2573</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22"/>
      <c r="Q39" s="1812" t="str">
        <f t="shared" si="11"/>
        <v>市政基础设施</v>
      </c>
      <c r="R39" s="774" t="s">
        <v>21</v>
      </c>
      <c r="S39" s="775">
        <f t="shared" si="12"/>
        <v>100</v>
      </c>
      <c r="T39" s="774" t="s">
        <v>21</v>
      </c>
      <c r="U39" s="775">
        <f t="shared" si="13"/>
        <v>100</v>
      </c>
      <c r="V39" s="774" t="s">
        <v>21</v>
      </c>
      <c r="W39" s="775">
        <f t="shared" si="14"/>
        <v>100</v>
      </c>
      <c r="X39" s="1815"/>
      <c r="Y39" s="3184"/>
      <c r="Z39" s="1816" t="str">
        <f t="shared" si="18"/>
        <v>市政基础设施</v>
      </c>
      <c r="AA39" s="1813">
        <f t="shared" si="15"/>
        <v>1</v>
      </c>
      <c r="AB39" s="1813">
        <f t="shared" si="16"/>
        <v>1</v>
      </c>
      <c r="AC39" s="1813">
        <f t="shared" si="17"/>
        <v>1</v>
      </c>
    </row>
    <row r="40" spans="1:29" ht="15">
      <c r="A40" s="472"/>
      <c r="B40" s="422" t="s">
        <v>2574</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22"/>
      <c r="Q40" s="1812" t="str">
        <f t="shared" si="11"/>
        <v>房型</v>
      </c>
      <c r="R40" s="774" t="s">
        <v>21</v>
      </c>
      <c r="S40" s="775">
        <f t="shared" si="12"/>
        <v>100</v>
      </c>
      <c r="T40" s="774" t="s">
        <v>21</v>
      </c>
      <c r="U40" s="775">
        <f t="shared" si="13"/>
        <v>100</v>
      </c>
      <c r="V40" s="774" t="s">
        <v>21</v>
      </c>
      <c r="W40" s="775">
        <f t="shared" si="14"/>
        <v>100</v>
      </c>
      <c r="X40" s="1815"/>
      <c r="Y40" s="3184"/>
      <c r="Z40" s="1816" t="str">
        <f t="shared" si="18"/>
        <v>房型</v>
      </c>
      <c r="AA40" s="1813">
        <f t="shared" si="15"/>
        <v>1</v>
      </c>
      <c r="AB40" s="1813">
        <f t="shared" si="16"/>
        <v>1</v>
      </c>
      <c r="AC40" s="1813">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22"/>
      <c r="Q41" s="776" t="str">
        <f t="shared" si="11"/>
        <v>单套/主力户型建筑面积</v>
      </c>
      <c r="R41" s="777" t="s">
        <v>21</v>
      </c>
      <c r="S41" s="778">
        <f t="shared" si="12"/>
        <v>100</v>
      </c>
      <c r="T41" s="777" t="s">
        <v>21</v>
      </c>
      <c r="U41" s="778">
        <f t="shared" si="13"/>
        <v>100</v>
      </c>
      <c r="V41" s="777" t="s">
        <v>21</v>
      </c>
      <c r="W41" s="778">
        <f t="shared" si="14"/>
        <v>100</v>
      </c>
      <c r="X41" s="779"/>
      <c r="Y41" s="3184"/>
      <c r="Z41" s="780" t="str">
        <f t="shared" si="18"/>
        <v>单套/主力户型建筑面积</v>
      </c>
      <c r="AA41" s="1813">
        <f t="shared" si="15"/>
        <v>1</v>
      </c>
      <c r="AB41" s="1813">
        <f t="shared" si="16"/>
        <v>1</v>
      </c>
      <c r="AC41" s="1813">
        <f t="shared" si="17"/>
        <v>1</v>
      </c>
    </row>
    <row r="42" spans="1:29" ht="15">
      <c r="A42" s="472"/>
      <c r="B42" s="422" t="s">
        <v>2576</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22"/>
      <c r="Q42" s="1812" t="str">
        <f t="shared" si="11"/>
        <v>内部装修</v>
      </c>
      <c r="R42" s="774" t="s">
        <v>21</v>
      </c>
      <c r="S42" s="775">
        <f t="shared" si="12"/>
        <v>100</v>
      </c>
      <c r="T42" s="774" t="s">
        <v>21</v>
      </c>
      <c r="U42" s="775">
        <f t="shared" si="13"/>
        <v>100</v>
      </c>
      <c r="V42" s="774" t="s">
        <v>21</v>
      </c>
      <c r="W42" s="775">
        <f t="shared" si="14"/>
        <v>100</v>
      </c>
      <c r="X42" s="1815"/>
      <c r="Y42" s="3184"/>
      <c r="Z42" s="1816" t="str">
        <f t="shared" si="18"/>
        <v>内部装修</v>
      </c>
      <c r="AA42" s="1813">
        <f t="shared" si="15"/>
        <v>1</v>
      </c>
      <c r="AB42" s="1813">
        <f t="shared" si="16"/>
        <v>1</v>
      </c>
      <c r="AC42" s="1813">
        <f t="shared" si="17"/>
        <v>1</v>
      </c>
    </row>
    <row r="43" spans="1:29" ht="15">
      <c r="A43" s="472"/>
      <c r="B43" s="422" t="s">
        <v>2577</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22"/>
      <c r="Q43" s="1812" t="str">
        <f t="shared" si="11"/>
        <v>内部装修维护情况</v>
      </c>
      <c r="R43" s="774" t="s">
        <v>21</v>
      </c>
      <c r="S43" s="775">
        <f t="shared" si="12"/>
        <v>100</v>
      </c>
      <c r="T43" s="774" t="s">
        <v>21</v>
      </c>
      <c r="U43" s="775">
        <f t="shared" si="13"/>
        <v>100</v>
      </c>
      <c r="V43" s="774" t="s">
        <v>21</v>
      </c>
      <c r="W43" s="775">
        <f t="shared" si="14"/>
        <v>100</v>
      </c>
      <c r="X43" s="1815"/>
      <c r="Y43" s="3184"/>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22"/>
      <c r="Q44" s="1797">
        <f t="shared" si="11"/>
        <v>111</v>
      </c>
      <c r="R44" s="770" t="s">
        <v>21</v>
      </c>
      <c r="S44" s="771">
        <f t="shared" si="12"/>
        <v>100</v>
      </c>
      <c r="T44" s="770" t="s">
        <v>21</v>
      </c>
      <c r="U44" s="771">
        <f t="shared" si="13"/>
        <v>100</v>
      </c>
      <c r="V44" s="770" t="s">
        <v>21</v>
      </c>
      <c r="W44" s="771">
        <f t="shared" si="14"/>
        <v>100</v>
      </c>
      <c r="X44" s="772"/>
      <c r="Y44" s="318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22"/>
      <c r="Q45" s="1812">
        <f t="shared" si="11"/>
        <v>111</v>
      </c>
      <c r="R45" s="774" t="s">
        <v>21</v>
      </c>
      <c r="S45" s="775">
        <f t="shared" si="12"/>
        <v>100</v>
      </c>
      <c r="T45" s="774" t="s">
        <v>21</v>
      </c>
      <c r="U45" s="775">
        <f t="shared" si="13"/>
        <v>100</v>
      </c>
      <c r="V45" s="774" t="s">
        <v>21</v>
      </c>
      <c r="W45" s="775">
        <f t="shared" si="14"/>
        <v>100</v>
      </c>
      <c r="X45" s="1815"/>
      <c r="Y45" s="3184"/>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23"/>
      <c r="Q46" s="1812">
        <f t="shared" si="11"/>
        <v>111</v>
      </c>
      <c r="R46" s="774" t="s">
        <v>20</v>
      </c>
      <c r="S46" s="775">
        <f t="shared" si="12"/>
        <v>100</v>
      </c>
      <c r="T46" s="774" t="s">
        <v>20</v>
      </c>
      <c r="U46" s="775">
        <f t="shared" si="13"/>
        <v>100</v>
      </c>
      <c r="V46" s="774" t="s">
        <v>20</v>
      </c>
      <c r="W46" s="775">
        <f t="shared" si="14"/>
        <v>100</v>
      </c>
      <c r="X46" s="1815"/>
      <c r="Y46" s="3224"/>
      <c r="Z46" s="1816">
        <f t="shared" si="18"/>
        <v>111</v>
      </c>
      <c r="AA46" s="1813">
        <f t="shared" si="15"/>
        <v>1</v>
      </c>
      <c r="AB46" s="1813">
        <f t="shared" si="16"/>
        <v>1</v>
      </c>
      <c r="AC46" s="1813">
        <f t="shared" si="17"/>
        <v>1</v>
      </c>
    </row>
    <row r="47" spans="1:29" ht="15">
      <c r="A47" s="479" t="s">
        <v>2578</v>
      </c>
      <c r="B47" s="480"/>
      <c r="C47" s="1410" t="s">
        <v>19</v>
      </c>
      <c r="D47" s="1411"/>
      <c r="E47" s="1412"/>
      <c r="F47" s="1413"/>
      <c r="G47" s="1414"/>
      <c r="H47" s="1415"/>
      <c r="I47" s="1412"/>
      <c r="J47" s="1415"/>
      <c r="K47" s="2627"/>
      <c r="L47" s="1146"/>
      <c r="M47" s="1147"/>
      <c r="N47" s="1134"/>
      <c r="O47" s="1147"/>
      <c r="P47" s="3166" t="str">
        <f>A47</f>
        <v>成交单价（元/平方米）</v>
      </c>
      <c r="Q47" s="3166"/>
      <c r="R47" s="3220">
        <f>E47</f>
        <v>0</v>
      </c>
      <c r="S47" s="3220"/>
      <c r="T47" s="3220">
        <f>G47</f>
        <v>0</v>
      </c>
      <c r="U47" s="3220"/>
      <c r="V47" s="3220">
        <f>I47</f>
        <v>0</v>
      </c>
      <c r="W47" s="3220"/>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8"/>
      <c r="L48" s="1146"/>
      <c r="M48" s="1147"/>
      <c r="N48" s="1147"/>
      <c r="O48" s="1147"/>
      <c r="P48" s="3166" t="str">
        <f>A48</f>
        <v>比较价值（元/平方米）</v>
      </c>
      <c r="Q48" s="3166"/>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9"/>
      <c r="L49" s="1146"/>
      <c r="M49" s="1147"/>
      <c r="N49" s="1147"/>
      <c r="O49" s="1147"/>
      <c r="P49" s="3186" t="str">
        <f>A49</f>
        <v>估价对象XX用房的比较价值（楼面单价，元/平方米）</v>
      </c>
      <c r="Q49" s="3187"/>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2"/>
      <c r="Q57" s="504"/>
    </row>
    <row r="58" spans="1:29" s="508" customFormat="1" ht="15">
      <c r="A58" s="505" t="s">
        <v>2585</v>
      </c>
      <c r="B58" s="506"/>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9"/>
      <c r="B59" s="2633"/>
      <c r="C59" s="1575">
        <v>100</v>
      </c>
      <c r="D59" s="511"/>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2587</v>
      </c>
      <c r="B61" s="510"/>
      <c r="C61" s="522" t="s">
        <v>2588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2102</v>
      </c>
      <c r="C82" s="539" t="s">
        <v>2605</v>
      </c>
      <c r="D82" s="539" t="s">
        <v>2606</v>
      </c>
      <c r="E82" s="539" t="s">
        <v>2607</v>
      </c>
      <c r="F82" s="539" t="s">
        <v>2608</v>
      </c>
      <c r="G82" s="539" t="s">
        <v>2609</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2612</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2564</v>
      </c>
      <c r="B100" s="528" t="s">
        <v>2613</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2616</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2617</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2620</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2623</v>
      </c>
    </row>
    <row r="137" spans="1:17" ht="15">
      <c r="B137" s="2644" t="s">
        <v>2624</v>
      </c>
      <c r="C137" s="2645"/>
      <c r="D137" s="2645"/>
      <c r="E137" s="2645"/>
      <c r="F137" s="2645"/>
      <c r="G137" s="2646"/>
      <c r="H137" s="2647"/>
      <c r="I137" s="2648" t="s">
        <v>2625</v>
      </c>
      <c r="J137" s="2645"/>
      <c r="K137" s="2649"/>
    </row>
    <row r="138" spans="1:17" ht="15">
      <c r="B138" s="2650"/>
      <c r="C138" s="146" t="s">
        <v>2626</v>
      </c>
      <c r="D138" s="146" t="s">
        <v>2627</v>
      </c>
      <c r="E138" s="2651" t="s">
        <v>2628</v>
      </c>
      <c r="F138" s="2652" t="s">
        <v>2629</v>
      </c>
      <c r="G138" s="146" t="s">
        <v>2627</v>
      </c>
      <c r="H138" s="147" t="s">
        <v>2628</v>
      </c>
      <c r="I138" s="2653"/>
      <c r="J138" s="146" t="s">
        <v>2630</v>
      </c>
      <c r="K138" s="147" t="s">
        <v>2631</v>
      </c>
    </row>
    <row r="139" spans="1:17" ht="15">
      <c r="B139" s="1087">
        <v>6</v>
      </c>
      <c r="C139" s="1088">
        <v>96</v>
      </c>
      <c r="D139" s="2654" t="s">
        <v>2632</v>
      </c>
      <c r="E139" s="1089">
        <v>100</v>
      </c>
      <c r="F139" s="1090">
        <v>102.5</v>
      </c>
      <c r="G139" s="2654" t="s">
        <v>2632</v>
      </c>
      <c r="H139" s="1091">
        <v>105</v>
      </c>
      <c r="I139" s="2655" t="s">
        <v>2633</v>
      </c>
      <c r="J139" s="1088">
        <v>20</v>
      </c>
      <c r="K139" s="1092">
        <f>C145/(J139-2)</f>
        <v>4.0555555555555553E-3</v>
      </c>
    </row>
    <row r="140" spans="1:17" ht="15">
      <c r="B140" s="1093">
        <v>5</v>
      </c>
      <c r="C140" s="1094">
        <v>100</v>
      </c>
      <c r="D140" s="1094"/>
      <c r="E140" s="1095"/>
      <c r="F140" s="1096">
        <v>102</v>
      </c>
      <c r="G140" s="1094"/>
      <c r="H140" s="1097"/>
      <c r="I140" s="2656" t="s">
        <v>2634</v>
      </c>
      <c r="J140" s="315">
        <f>ROUNDUP((J139-1)/2,0)</f>
        <v>10</v>
      </c>
      <c r="K140" s="1098">
        <v>100</v>
      </c>
    </row>
    <row r="141" spans="1:17" ht="15">
      <c r="B141" s="1093">
        <v>4</v>
      </c>
      <c r="C141" s="1094">
        <v>102</v>
      </c>
      <c r="D141" s="1094"/>
      <c r="E141" s="1095"/>
      <c r="F141" s="1096">
        <v>101.5</v>
      </c>
      <c r="G141" s="1094"/>
      <c r="H141" s="1097"/>
      <c r="I141" s="2656" t="s">
        <v>2635</v>
      </c>
      <c r="J141" s="315">
        <v>1</v>
      </c>
      <c r="K141" s="1099">
        <f>ROUND(100+(J141-J140)*K139*100,1)</f>
        <v>96.4</v>
      </c>
    </row>
    <row r="142" spans="1:17" ht="15">
      <c r="B142" s="1093">
        <v>3</v>
      </c>
      <c r="C142" s="1094">
        <v>103</v>
      </c>
      <c r="D142" s="1094"/>
      <c r="E142" s="1095"/>
      <c r="F142" s="1096">
        <v>101</v>
      </c>
      <c r="G142" s="1094"/>
      <c r="H142" s="1097"/>
      <c r="I142" s="2656" t="s">
        <v>2636</v>
      </c>
      <c r="J142" s="315">
        <f>J139</f>
        <v>20</v>
      </c>
      <c r="K142" s="1100">
        <v>95</v>
      </c>
    </row>
    <row r="143" spans="1:17" ht="15">
      <c r="B143" s="1093">
        <v>2</v>
      </c>
      <c r="C143" s="1094">
        <v>100</v>
      </c>
      <c r="D143" s="1094"/>
      <c r="E143" s="1095"/>
      <c r="F143" s="1096">
        <v>100.5</v>
      </c>
      <c r="G143" s="1094"/>
      <c r="H143" s="1097"/>
      <c r="I143" s="2656" t="s">
        <v>2637</v>
      </c>
      <c r="J143" s="1094">
        <v>15</v>
      </c>
      <c r="K143" s="1099">
        <f>ROUND(100+(J143-J140)*K139*100,1)</f>
        <v>102</v>
      </c>
    </row>
    <row r="144" spans="1:17" ht="15">
      <c r="B144" s="1093">
        <v>1</v>
      </c>
      <c r="C144" s="1094">
        <v>98</v>
      </c>
      <c r="D144" s="2657" t="s">
        <v>2638</v>
      </c>
      <c r="E144" s="1095">
        <v>102</v>
      </c>
      <c r="F144" s="1101">
        <v>100</v>
      </c>
      <c r="G144" s="2657" t="s">
        <v>2638</v>
      </c>
      <c r="H144" s="1097">
        <v>105</v>
      </c>
      <c r="I144" s="2656" t="s">
        <v>2637</v>
      </c>
      <c r="J144" s="1094">
        <v>18</v>
      </c>
      <c r="K144" s="1099">
        <f>ROUND(100+(J144-J140)*K139*100,1)</f>
        <v>103.2</v>
      </c>
    </row>
    <row r="145" spans="2:11" ht="15.75" thickBot="1">
      <c r="B145" s="2658" t="s">
        <v>2639</v>
      </c>
      <c r="C145" s="1102">
        <f>ROUND(MAX(C139:C144)/MIN(C139:C144)-1,3)</f>
        <v>7.2999999999999995E-2</v>
      </c>
      <c r="D145" s="1103"/>
      <c r="E145" s="1103"/>
      <c r="F145" s="2659" t="s">
        <v>2640</v>
      </c>
      <c r="G145" s="2660"/>
      <c r="H145" s="2661"/>
      <c r="I145" s="2662" t="s">
        <v>2637</v>
      </c>
      <c r="J145" s="1104">
        <v>8</v>
      </c>
      <c r="K145" s="1105">
        <f>ROUND(100+(J145-J140)*K139*100,1)</f>
        <v>99.2</v>
      </c>
    </row>
    <row r="147" spans="2:11">
      <c r="B147" s="2643" t="s">
        <v>2641</v>
      </c>
    </row>
    <row r="148" spans="2:11">
      <c r="B148" s="2643"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房地产市场价值预评估</v>
      </c>
      <c r="C37" s="2960"/>
      <c r="D37" s="2960"/>
      <c r="E37" s="2960"/>
      <c r="F37" s="2960"/>
      <c r="G37" s="2960"/>
      <c r="H37" s="2960"/>
      <c r="I37" s="2960"/>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项目基本情况!K4</f>
        <v>（注册号：0)、（注册号：0)</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30.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E3" sqref="E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8" t="s">
        <v>2643</v>
      </c>
      <c r="C1" s="1636" t="s">
        <v>2531</v>
      </c>
      <c r="D1" s="1623"/>
      <c r="E1" s="2663"/>
      <c r="F1" s="2590"/>
      <c r="G1" s="1633" t="s">
        <v>2644</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2331</v>
      </c>
      <c r="B2" s="1421" t="e">
        <f ca="1">IF(C2="——",ROUND(C49*D3/10000,0),ROUND(C49*D3/10000,0)-D2)</f>
        <v>#DIV/0!</v>
      </c>
      <c r="C2" s="2592"/>
      <c r="D2" s="1368" t="e">
        <f ca="1">SUMIF(INDIRECT("'"&amp;F2&amp;"'"&amp;"!A:A"),"承租人权益价值",INDIRECT("'"&amp;F2&amp;"'"&amp;"!c:c"))</f>
        <v>#REF!</v>
      </c>
      <c r="E2" s="2593" t="s">
        <v>2332</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2333</v>
      </c>
      <c r="B3" s="609" t="e">
        <f ca="1">IF(C2="——",C49,ROUND(B2*10000/D3,0))</f>
        <v>#DIV/0!</v>
      </c>
      <c r="C3" s="400" t="s">
        <v>2645</v>
      </c>
      <c r="D3" s="399">
        <f>IF(D1="",'数据-汇总表'!E3,SUMIF('数据-汇总表'!$C19:$C33,D1,'数据-汇总表'!$E19:$E33))</f>
        <v>16471.48</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2646</v>
      </c>
      <c r="B4" s="402"/>
      <c r="C4" s="3167" t="s">
        <v>2647</v>
      </c>
      <c r="D4" s="3168"/>
      <c r="E4" s="3169" t="s">
        <v>2648</v>
      </c>
      <c r="F4" s="3170"/>
      <c r="G4" s="3167" t="s">
        <v>2649</v>
      </c>
      <c r="H4" s="3168"/>
      <c r="I4" s="3167" t="s">
        <v>2650</v>
      </c>
      <c r="J4" s="3168"/>
      <c r="K4" s="610" t="s">
        <v>2651</v>
      </c>
      <c r="L4" s="1133"/>
      <c r="M4" s="1134"/>
      <c r="N4" s="1134"/>
      <c r="O4" s="1134"/>
      <c r="P4" s="3171" t="s">
        <v>2652</v>
      </c>
      <c r="Q4" s="3172"/>
      <c r="R4" s="3154" t="s">
        <v>2648</v>
      </c>
      <c r="S4" s="3155"/>
      <c r="T4" s="3154" t="s">
        <v>2649</v>
      </c>
      <c r="U4" s="3155"/>
      <c r="V4" s="3179" t="s">
        <v>2650</v>
      </c>
      <c r="W4" s="3179"/>
      <c r="X4" s="1815"/>
      <c r="Y4" s="3154" t="s">
        <v>2652</v>
      </c>
      <c r="Z4" s="3155"/>
      <c r="AA4" s="3149" t="s">
        <v>2648</v>
      </c>
      <c r="AB4" s="3179" t="s">
        <v>2649</v>
      </c>
      <c r="AC4" s="3149" t="s">
        <v>2650</v>
      </c>
    </row>
    <row r="5" spans="1:29" ht="15">
      <c r="A5" s="404"/>
      <c r="B5" s="405"/>
      <c r="C5" s="3160" t="s">
        <v>2543</v>
      </c>
      <c r="D5" s="3161"/>
      <c r="E5" s="3158" t="s">
        <v>2544</v>
      </c>
      <c r="F5" s="3159"/>
      <c r="G5" s="3160" t="s">
        <v>2545</v>
      </c>
      <c r="H5" s="3161"/>
      <c r="I5" s="3160" t="s">
        <v>2546</v>
      </c>
      <c r="J5" s="3161"/>
      <c r="K5" s="610"/>
      <c r="L5" s="1133"/>
      <c r="M5" s="1134"/>
      <c r="N5" s="1134"/>
      <c r="O5" s="1134"/>
      <c r="P5" s="3173"/>
      <c r="Q5" s="3174"/>
      <c r="R5" s="3156"/>
      <c r="S5" s="3157"/>
      <c r="T5" s="3156"/>
      <c r="U5" s="3157"/>
      <c r="V5" s="3179"/>
      <c r="W5" s="3179"/>
      <c r="X5" s="1815"/>
      <c r="Y5" s="3156"/>
      <c r="Z5" s="3157"/>
      <c r="AA5" s="3150"/>
      <c r="AB5" s="3179"/>
      <c r="AC5" s="3150"/>
    </row>
    <row r="6" spans="1:29" ht="15.75" thickBot="1">
      <c r="A6" s="406"/>
      <c r="B6" s="407"/>
      <c r="C6" s="3162" t="s">
        <v>2547</v>
      </c>
      <c r="D6" s="3163"/>
      <c r="E6" s="3164" t="s">
        <v>2547</v>
      </c>
      <c r="F6" s="3165"/>
      <c r="G6" s="3162" t="s">
        <v>2547</v>
      </c>
      <c r="H6" s="3163"/>
      <c r="I6" s="3162" t="s">
        <v>2547</v>
      </c>
      <c r="J6" s="3163"/>
      <c r="K6" s="610" t="s">
        <v>2548</v>
      </c>
      <c r="L6" s="1133"/>
      <c r="M6" s="1134"/>
      <c r="N6" s="1134"/>
      <c r="O6" s="1134"/>
      <c r="P6" s="3175"/>
      <c r="Q6" s="3176"/>
      <c r="R6" s="3156"/>
      <c r="S6" s="3157"/>
      <c r="T6" s="3177"/>
      <c r="U6" s="3178"/>
      <c r="V6" s="3179"/>
      <c r="W6" s="3179"/>
      <c r="X6" s="1815"/>
      <c r="Y6" s="3177"/>
      <c r="Z6" s="3178"/>
      <c r="AA6" s="3151"/>
      <c r="AB6" s="3179"/>
      <c r="AC6" s="3151"/>
    </row>
    <row r="7" spans="1:29" s="117" customFormat="1" ht="15.75" thickBot="1">
      <c r="A7" s="408" t="s">
        <v>2549</v>
      </c>
      <c r="B7" s="409"/>
      <c r="C7" s="410">
        <f>'数据-取费表'!B2</f>
        <v>43416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2" t="s">
        <v>2550</v>
      </c>
      <c r="Q7" s="3180"/>
      <c r="R7" s="770" t="s">
        <v>17</v>
      </c>
      <c r="S7" s="771">
        <f t="shared" ref="S7:S15" si="0">F7</f>
        <v>0</v>
      </c>
      <c r="T7" s="770" t="s">
        <v>17</v>
      </c>
      <c r="U7" s="771">
        <f t="shared" ref="U7:U15" si="1">H7</f>
        <v>0</v>
      </c>
      <c r="V7" s="770" t="s">
        <v>17</v>
      </c>
      <c r="W7" s="771">
        <f t="shared" ref="W7:W15" si="2">J7</f>
        <v>0</v>
      </c>
      <c r="X7" s="772"/>
      <c r="Y7" s="3152" t="s">
        <v>2550</v>
      </c>
      <c r="Z7" s="3153"/>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2" t="s">
        <v>2553</v>
      </c>
      <c r="Q8" s="3153"/>
      <c r="R8" s="770" t="s">
        <v>17</v>
      </c>
      <c r="S8" s="771">
        <f t="shared" si="0"/>
        <v>0</v>
      </c>
      <c r="T8" s="770" t="s">
        <v>17</v>
      </c>
      <c r="U8" s="771">
        <f t="shared" si="1"/>
        <v>0</v>
      </c>
      <c r="V8" s="770" t="s">
        <v>17</v>
      </c>
      <c r="W8" s="771">
        <f t="shared" si="2"/>
        <v>0</v>
      </c>
      <c r="X8" s="772"/>
      <c r="Y8" s="3152" t="s">
        <v>2553</v>
      </c>
      <c r="Z8" s="3153"/>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0" t="s">
        <v>2556</v>
      </c>
      <c r="Q9" s="1797"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0"/>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0"/>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0"/>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0"/>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0"/>
      <c r="Q14" s="1797">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2560</v>
      </c>
      <c r="B15" s="69" t="s">
        <v>2654</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5" t="s">
        <v>2561</v>
      </c>
      <c r="Q15" s="1812" t="str">
        <f t="shared" si="6"/>
        <v>商业繁华度</v>
      </c>
      <c r="R15" s="774" t="s">
        <v>17</v>
      </c>
      <c r="S15" s="775">
        <f t="shared" si="0"/>
        <v>100</v>
      </c>
      <c r="T15" s="774" t="s">
        <v>17</v>
      </c>
      <c r="U15" s="775">
        <f t="shared" si="1"/>
        <v>100</v>
      </c>
      <c r="V15" s="774" t="s">
        <v>17</v>
      </c>
      <c r="W15" s="775">
        <f t="shared" si="2"/>
        <v>100</v>
      </c>
      <c r="X15" s="1815"/>
      <c r="Y15" s="3181" t="s">
        <v>2561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26"/>
      <c r="Q16" s="1812"/>
      <c r="R16" s="774"/>
      <c r="S16" s="775"/>
      <c r="T16" s="774"/>
      <c r="U16" s="775"/>
      <c r="V16" s="774"/>
      <c r="W16" s="775"/>
      <c r="X16" s="1815"/>
      <c r="Y16" s="3182"/>
      <c r="Z16" s="1816"/>
      <c r="AA16" s="1813">
        <v>1</v>
      </c>
      <c r="AB16" s="1813">
        <v>1</v>
      </c>
      <c r="AC16" s="1813">
        <v>1</v>
      </c>
    </row>
    <row r="17" spans="1:29" ht="85.5">
      <c r="A17" s="428"/>
      <c r="B17" s="451" t="s">
        <v>2101</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6"/>
      <c r="Q17" s="1812" t="str">
        <f>B17</f>
        <v>交通便捷度</v>
      </c>
      <c r="R17" s="774" t="s">
        <v>17</v>
      </c>
      <c r="S17" s="775">
        <f>F17</f>
        <v>100</v>
      </c>
      <c r="T17" s="774" t="s">
        <v>17</v>
      </c>
      <c r="U17" s="775">
        <f>H17</f>
        <v>100</v>
      </c>
      <c r="V17" s="774" t="s">
        <v>17</v>
      </c>
      <c r="W17" s="775">
        <f>J17</f>
        <v>100</v>
      </c>
      <c r="X17" s="1815"/>
      <c r="Y17" s="3182"/>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26"/>
      <c r="Q18" s="1812"/>
      <c r="R18" s="774"/>
      <c r="S18" s="775"/>
      <c r="T18" s="774"/>
      <c r="U18" s="775"/>
      <c r="V18" s="774"/>
      <c r="W18" s="775"/>
      <c r="X18" s="1815"/>
      <c r="Y18" s="3182"/>
      <c r="Z18" s="1816"/>
      <c r="AA18" s="1813">
        <v>1</v>
      </c>
      <c r="AB18" s="1813">
        <v>1</v>
      </c>
      <c r="AC18" s="1813">
        <v>1</v>
      </c>
    </row>
    <row r="19" spans="1:29" ht="42.75">
      <c r="A19" s="428"/>
      <c r="B19" s="451" t="s">
        <v>2655</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6"/>
      <c r="Q19" s="1812" t="str">
        <f>B19</f>
        <v>公共配套设施</v>
      </c>
      <c r="R19" s="774" t="s">
        <v>17</v>
      </c>
      <c r="S19" s="775">
        <f>F19</f>
        <v>100</v>
      </c>
      <c r="T19" s="774" t="s">
        <v>17</v>
      </c>
      <c r="U19" s="775">
        <f>H19</f>
        <v>100</v>
      </c>
      <c r="V19" s="774" t="s">
        <v>17</v>
      </c>
      <c r="W19" s="775">
        <f>J19</f>
        <v>100</v>
      </c>
      <c r="X19" s="1815"/>
      <c r="Y19" s="3182"/>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26"/>
      <c r="Q20" s="1812"/>
      <c r="R20" s="774"/>
      <c r="S20" s="775"/>
      <c r="T20" s="774"/>
      <c r="U20" s="775"/>
      <c r="V20" s="774"/>
      <c r="W20" s="775"/>
      <c r="X20" s="1815"/>
      <c r="Y20" s="3182"/>
      <c r="Z20" s="1816"/>
      <c r="AA20" s="1813">
        <v>1</v>
      </c>
      <c r="AB20" s="1813">
        <v>1</v>
      </c>
      <c r="AC20" s="1813">
        <v>1</v>
      </c>
    </row>
    <row r="21" spans="1:29" ht="28.5">
      <c r="A21" s="428"/>
      <c r="B21" s="1387" t="s">
        <v>2656</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6"/>
      <c r="Q21" s="1812" t="str">
        <f>B21</f>
        <v>基础设施水平</v>
      </c>
      <c r="R21" s="774" t="s">
        <v>17</v>
      </c>
      <c r="S21" s="775">
        <f>F21</f>
        <v>100</v>
      </c>
      <c r="T21" s="774" t="s">
        <v>17</v>
      </c>
      <c r="U21" s="775">
        <f>H21</f>
        <v>100</v>
      </c>
      <c r="V21" s="774" t="s">
        <v>17</v>
      </c>
      <c r="W21" s="775">
        <f>J21</f>
        <v>100</v>
      </c>
      <c r="X21" s="1815"/>
      <c r="Y21" s="3182"/>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26"/>
      <c r="Q22" s="1812"/>
      <c r="R22" s="774"/>
      <c r="S22" s="775"/>
      <c r="T22" s="774"/>
      <c r="U22" s="775"/>
      <c r="V22" s="774"/>
      <c r="W22" s="775"/>
      <c r="X22" s="1815"/>
      <c r="Y22" s="3182"/>
      <c r="Z22" s="1816"/>
      <c r="AA22" s="1813">
        <v>1</v>
      </c>
      <c r="AB22" s="1813">
        <v>1</v>
      </c>
      <c r="AC22" s="1813">
        <v>1</v>
      </c>
    </row>
    <row r="23" spans="1:29" ht="57">
      <c r="A23" s="428"/>
      <c r="B23" s="451" t="s">
        <v>2106</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6"/>
      <c r="Q23" s="1812" t="str">
        <f>B23</f>
        <v>自然及人文环境</v>
      </c>
      <c r="R23" s="774" t="s">
        <v>17</v>
      </c>
      <c r="S23" s="775">
        <f>F23</f>
        <v>100</v>
      </c>
      <c r="T23" s="774" t="s">
        <v>17</v>
      </c>
      <c r="U23" s="775">
        <f>H23</f>
        <v>100</v>
      </c>
      <c r="V23" s="774" t="s">
        <v>17</v>
      </c>
      <c r="W23" s="775">
        <f>J23</f>
        <v>100</v>
      </c>
      <c r="X23" s="1815"/>
      <c r="Y23" s="3182"/>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26"/>
      <c r="Q24" s="1812"/>
      <c r="R24" s="774"/>
      <c r="S24" s="775"/>
      <c r="T24" s="774"/>
      <c r="U24" s="775"/>
      <c r="V24" s="774"/>
      <c r="W24" s="775"/>
      <c r="X24" s="1815"/>
      <c r="Y24" s="3182"/>
      <c r="Z24" s="1816"/>
      <c r="AA24" s="1813">
        <v>1</v>
      </c>
      <c r="AB24" s="1813">
        <v>1</v>
      </c>
      <c r="AC24" s="1813">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6"/>
      <c r="Q25" s="1812" t="str">
        <f t="shared" ref="Q25:Q46" si="11">B25</f>
        <v>临街状况</v>
      </c>
      <c r="R25" s="774" t="s">
        <v>17</v>
      </c>
      <c r="S25" s="775">
        <f>F25</f>
        <v>100</v>
      </c>
      <c r="T25" s="774" t="s">
        <v>17</v>
      </c>
      <c r="U25" s="775">
        <f>H25</f>
        <v>100</v>
      </c>
      <c r="V25" s="774" t="s">
        <v>17</v>
      </c>
      <c r="W25" s="775">
        <f>J25</f>
        <v>100</v>
      </c>
      <c r="X25" s="1815"/>
      <c r="Y25" s="3182"/>
      <c r="Z25" s="1816" t="str">
        <f>Q25</f>
        <v>临街状况</v>
      </c>
      <c r="AA25" s="1813">
        <f t="shared" si="3"/>
        <v>1</v>
      </c>
      <c r="AB25" s="1813">
        <f t="shared" si="4"/>
        <v>1</v>
      </c>
      <c r="AC25" s="1813">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6"/>
      <c r="Q26" s="1812" t="str">
        <f t="shared" si="11"/>
        <v>平面位置/可视性</v>
      </c>
      <c r="R26" s="774" t="s">
        <v>17</v>
      </c>
      <c r="S26" s="775">
        <f>F26</f>
        <v>100</v>
      </c>
      <c r="T26" s="774" t="s">
        <v>17</v>
      </c>
      <c r="U26" s="775">
        <f>H26</f>
        <v>100</v>
      </c>
      <c r="V26" s="774" t="s">
        <v>17</v>
      </c>
      <c r="W26" s="775">
        <f>J26</f>
        <v>100</v>
      </c>
      <c r="X26" s="1815"/>
      <c r="Y26" s="3182"/>
      <c r="Z26" s="1816" t="str">
        <f>Q26</f>
        <v>平面位置/可视性</v>
      </c>
      <c r="AA26" s="1813">
        <f t="shared" si="3"/>
        <v>1</v>
      </c>
      <c r="AB26" s="1813">
        <f t="shared" si="4"/>
        <v>1</v>
      </c>
      <c r="AC26" s="1813">
        <f t="shared" si="5"/>
        <v>1</v>
      </c>
    </row>
    <row r="27" spans="1:29" s="117" customFormat="1" ht="15">
      <c r="A27" s="431"/>
      <c r="B27" s="451" t="s">
        <v>2659</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26"/>
      <c r="Q27" s="1797" t="str">
        <f t="shared" si="11"/>
        <v>人流量</v>
      </c>
      <c r="R27" s="770" t="s">
        <v>17</v>
      </c>
      <c r="S27" s="771">
        <f>F27</f>
        <v>100</v>
      </c>
      <c r="T27" s="770" t="s">
        <v>17</v>
      </c>
      <c r="U27" s="771">
        <f>H27</f>
        <v>100</v>
      </c>
      <c r="V27" s="770" t="s">
        <v>17</v>
      </c>
      <c r="W27" s="771">
        <f>J27</f>
        <v>100</v>
      </c>
      <c r="X27" s="772"/>
      <c r="Y27" s="3182"/>
      <c r="Z27" s="55" t="str">
        <f>Q27</f>
        <v>人流量</v>
      </c>
      <c r="AA27" s="1813">
        <f>D27/F27</f>
        <v>1</v>
      </c>
      <c r="AB27" s="1813">
        <f>D27/H27</f>
        <v>1</v>
      </c>
      <c r="AC27" s="1813">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6"/>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2"/>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6"/>
      <c r="Q29" s="1812">
        <f t="shared" si="11"/>
        <v>111</v>
      </c>
      <c r="R29" s="774" t="s">
        <v>17</v>
      </c>
      <c r="S29" s="775">
        <f t="shared" si="12"/>
        <v>100</v>
      </c>
      <c r="T29" s="774" t="s">
        <v>17</v>
      </c>
      <c r="U29" s="775">
        <f t="shared" si="13"/>
        <v>100</v>
      </c>
      <c r="V29" s="774" t="s">
        <v>17</v>
      </c>
      <c r="W29" s="775">
        <f t="shared" si="14"/>
        <v>100</v>
      </c>
      <c r="X29" s="1815"/>
      <c r="Y29" s="3182"/>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6"/>
      <c r="Q30" s="1812">
        <f t="shared" si="11"/>
        <v>111</v>
      </c>
      <c r="R30" s="774" t="s">
        <v>17</v>
      </c>
      <c r="S30" s="775">
        <f t="shared" si="12"/>
        <v>100</v>
      </c>
      <c r="T30" s="774" t="s">
        <v>17</v>
      </c>
      <c r="U30" s="775">
        <f t="shared" si="13"/>
        <v>100</v>
      </c>
      <c r="V30" s="774" t="s">
        <v>17</v>
      </c>
      <c r="W30" s="775">
        <f t="shared" si="14"/>
        <v>100</v>
      </c>
      <c r="X30" s="1815"/>
      <c r="Y30" s="3182"/>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6"/>
      <c r="Q31" s="1812">
        <f t="shared" si="11"/>
        <v>111</v>
      </c>
      <c r="R31" s="774" t="s">
        <v>17</v>
      </c>
      <c r="S31" s="775">
        <f t="shared" si="12"/>
        <v>100</v>
      </c>
      <c r="T31" s="774" t="s">
        <v>17</v>
      </c>
      <c r="U31" s="775">
        <f t="shared" si="13"/>
        <v>100</v>
      </c>
      <c r="V31" s="774" t="s">
        <v>17</v>
      </c>
      <c r="W31" s="775">
        <f t="shared" si="14"/>
        <v>100</v>
      </c>
      <c r="X31" s="1815"/>
      <c r="Y31" s="3182"/>
      <c r="Z31" s="1816">
        <f t="shared" si="15"/>
        <v>111</v>
      </c>
      <c r="AA31" s="1813">
        <f t="shared" si="3"/>
        <v>1</v>
      </c>
      <c r="AB31" s="1813">
        <f t="shared" si="4"/>
        <v>1</v>
      </c>
      <c r="AC31" s="1813">
        <f t="shared" si="5"/>
        <v>1</v>
      </c>
    </row>
    <row r="32" spans="1:29" ht="15">
      <c r="A32" s="440" t="s">
        <v>2564</v>
      </c>
      <c r="B32" s="71" t="s">
        <v>2661</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21" t="s">
        <v>2566</v>
      </c>
      <c r="Q32" s="1812" t="str">
        <f t="shared" si="11"/>
        <v>商业类型</v>
      </c>
      <c r="R32" s="774" t="s">
        <v>17</v>
      </c>
      <c r="S32" s="775">
        <f t="shared" si="12"/>
        <v>100</v>
      </c>
      <c r="T32" s="774" t="s">
        <v>17</v>
      </c>
      <c r="U32" s="775">
        <f t="shared" si="13"/>
        <v>100</v>
      </c>
      <c r="V32" s="774" t="s">
        <v>17</v>
      </c>
      <c r="W32" s="775">
        <f t="shared" si="14"/>
        <v>100</v>
      </c>
      <c r="X32" s="1815"/>
      <c r="Y32" s="3184" t="s">
        <v>2566</v>
      </c>
      <c r="Z32" s="1816" t="str">
        <f t="shared" si="15"/>
        <v>商业类型</v>
      </c>
      <c r="AA32" s="1813">
        <f t="shared" si="3"/>
        <v>1</v>
      </c>
      <c r="AB32" s="1813">
        <f t="shared" si="4"/>
        <v>1</v>
      </c>
      <c r="AC32" s="1813">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2"/>
      <c r="Q33" s="776" t="str">
        <f t="shared" si="11"/>
        <v>项目建筑规模</v>
      </c>
      <c r="R33" s="777" t="s">
        <v>17</v>
      </c>
      <c r="S33" s="778" t="e">
        <f t="shared" si="12"/>
        <v>#N/A</v>
      </c>
      <c r="T33" s="777" t="s">
        <v>17</v>
      </c>
      <c r="U33" s="778" t="e">
        <f t="shared" si="13"/>
        <v>#N/A</v>
      </c>
      <c r="V33" s="777" t="s">
        <v>17</v>
      </c>
      <c r="W33" s="778" t="e">
        <f t="shared" si="14"/>
        <v>#N/A</v>
      </c>
      <c r="X33" s="779"/>
      <c r="Y33" s="3184"/>
      <c r="Z33" s="780" t="str">
        <f t="shared" si="15"/>
        <v>项目建筑规模</v>
      </c>
      <c r="AA33" s="1813" t="e">
        <f t="shared" si="3"/>
        <v>#N/A</v>
      </c>
      <c r="AB33" s="1813" t="e">
        <f t="shared" si="4"/>
        <v>#N/A</v>
      </c>
      <c r="AC33" s="1813"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22"/>
      <c r="Q34" s="1812" t="str">
        <f t="shared" si="11"/>
        <v>建筑结构</v>
      </c>
      <c r="R34" s="774" t="s">
        <v>17</v>
      </c>
      <c r="S34" s="775">
        <f t="shared" si="12"/>
        <v>100</v>
      </c>
      <c r="T34" s="774" t="s">
        <v>17</v>
      </c>
      <c r="U34" s="775">
        <f t="shared" si="13"/>
        <v>100</v>
      </c>
      <c r="V34" s="774" t="s">
        <v>17</v>
      </c>
      <c r="W34" s="775">
        <f t="shared" si="14"/>
        <v>100</v>
      </c>
      <c r="X34" s="1815"/>
      <c r="Y34" s="3184"/>
      <c r="Z34" s="1816" t="str">
        <f t="shared" si="15"/>
        <v>建筑结构</v>
      </c>
      <c r="AA34" s="1813">
        <f t="shared" si="3"/>
        <v>1</v>
      </c>
      <c r="AB34" s="1813">
        <f t="shared" si="4"/>
        <v>1</v>
      </c>
      <c r="AC34" s="1813">
        <f t="shared" si="5"/>
        <v>1</v>
      </c>
    </row>
    <row r="35" spans="1:29" ht="15">
      <c r="A35" s="472"/>
      <c r="B35" s="422" t="s">
        <v>2662</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22"/>
      <c r="Q35" s="1812" t="str">
        <f t="shared" si="11"/>
        <v>公共部分装修</v>
      </c>
      <c r="R35" s="774" t="s">
        <v>17</v>
      </c>
      <c r="S35" s="775">
        <f t="shared" si="12"/>
        <v>100</v>
      </c>
      <c r="T35" s="774" t="s">
        <v>17</v>
      </c>
      <c r="U35" s="775">
        <f t="shared" si="13"/>
        <v>100</v>
      </c>
      <c r="V35" s="774" t="s">
        <v>17</v>
      </c>
      <c r="W35" s="775">
        <f t="shared" si="14"/>
        <v>100</v>
      </c>
      <c r="X35" s="1815"/>
      <c r="Y35" s="3184"/>
      <c r="Z35" s="1816" t="str">
        <f t="shared" si="15"/>
        <v>公共部分装修</v>
      </c>
      <c r="AA35" s="1813">
        <f t="shared" si="3"/>
        <v>1</v>
      </c>
      <c r="AB35" s="1813">
        <f t="shared" si="4"/>
        <v>1</v>
      </c>
      <c r="AC35" s="1813">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2"/>
      <c r="Q36" s="1812" t="str">
        <f t="shared" si="11"/>
        <v>成新度</v>
      </c>
      <c r="R36" s="774" t="s">
        <v>17</v>
      </c>
      <c r="S36" s="775" t="e">
        <f t="shared" si="12"/>
        <v>#N/A</v>
      </c>
      <c r="T36" s="774" t="s">
        <v>17</v>
      </c>
      <c r="U36" s="775" t="e">
        <f t="shared" si="13"/>
        <v>#N/A</v>
      </c>
      <c r="V36" s="774" t="s">
        <v>17</v>
      </c>
      <c r="W36" s="775" t="e">
        <f t="shared" si="14"/>
        <v>#N/A</v>
      </c>
      <c r="X36" s="1815"/>
      <c r="Y36" s="3184"/>
      <c r="Z36" s="1816" t="str">
        <f t="shared" si="15"/>
        <v>成新度</v>
      </c>
      <c r="AA36" s="1813" t="e">
        <f t="shared" si="3"/>
        <v>#N/A</v>
      </c>
      <c r="AB36" s="1813" t="e">
        <f t="shared" si="4"/>
        <v>#N/A</v>
      </c>
      <c r="AC36" s="1813" t="e">
        <f t="shared" si="5"/>
        <v>#N/A</v>
      </c>
    </row>
    <row r="37" spans="1:29" s="117" customFormat="1" ht="15">
      <c r="A37" s="473"/>
      <c r="B37" s="422" t="s">
        <v>2664</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22"/>
      <c r="Q37" s="1797" t="str">
        <f t="shared" si="11"/>
        <v>市政基础设施</v>
      </c>
      <c r="R37" s="770" t="s">
        <v>17</v>
      </c>
      <c r="S37" s="771">
        <f t="shared" si="12"/>
        <v>100</v>
      </c>
      <c r="T37" s="770" t="s">
        <v>17</v>
      </c>
      <c r="U37" s="771">
        <f t="shared" si="13"/>
        <v>100</v>
      </c>
      <c r="V37" s="770" t="s">
        <v>17</v>
      </c>
      <c r="W37" s="771">
        <f t="shared" si="14"/>
        <v>100</v>
      </c>
      <c r="X37" s="772"/>
      <c r="Y37" s="3184"/>
      <c r="Z37" s="55" t="str">
        <f t="shared" si="15"/>
        <v>市政基础设施</v>
      </c>
      <c r="AA37" s="773">
        <f t="shared" si="3"/>
        <v>1</v>
      </c>
      <c r="AB37" s="773">
        <f t="shared" si="4"/>
        <v>1</v>
      </c>
      <c r="AC37" s="773">
        <f t="shared" si="5"/>
        <v>1</v>
      </c>
    </row>
    <row r="38" spans="1:29" ht="15">
      <c r="A38" s="472"/>
      <c r="B38" s="422" t="s">
        <v>2665</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22" t="s">
        <v>2566</v>
      </c>
      <c r="Q38" s="1812" t="str">
        <f t="shared" si="11"/>
        <v>业态</v>
      </c>
      <c r="R38" s="774" t="s">
        <v>17</v>
      </c>
      <c r="S38" s="775">
        <f t="shared" si="12"/>
        <v>100</v>
      </c>
      <c r="T38" s="774" t="s">
        <v>17</v>
      </c>
      <c r="U38" s="775">
        <f t="shared" si="13"/>
        <v>100</v>
      </c>
      <c r="V38" s="774" t="s">
        <v>17</v>
      </c>
      <c r="W38" s="775">
        <f t="shared" si="14"/>
        <v>100</v>
      </c>
      <c r="X38" s="1815"/>
      <c r="Y38" s="3184" t="s">
        <v>2566</v>
      </c>
      <c r="Z38" s="1816" t="str">
        <f t="shared" si="15"/>
        <v>业态</v>
      </c>
      <c r="AA38" s="1813">
        <f t="shared" si="3"/>
        <v>1</v>
      </c>
      <c r="AB38" s="1813">
        <f t="shared" si="4"/>
        <v>1</v>
      </c>
      <c r="AC38" s="1813">
        <f t="shared" si="5"/>
        <v>1</v>
      </c>
    </row>
    <row r="39" spans="1:29" ht="15">
      <c r="A39" s="472"/>
      <c r="B39" s="422" t="s">
        <v>2666</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22"/>
      <c r="Q39" s="1812" t="str">
        <f t="shared" si="11"/>
        <v>层高</v>
      </c>
      <c r="R39" s="774" t="s">
        <v>17</v>
      </c>
      <c r="S39" s="775">
        <f t="shared" si="12"/>
        <v>100</v>
      </c>
      <c r="T39" s="774" t="s">
        <v>17</v>
      </c>
      <c r="U39" s="775">
        <f t="shared" si="13"/>
        <v>100</v>
      </c>
      <c r="V39" s="774" t="s">
        <v>17</v>
      </c>
      <c r="W39" s="775">
        <f t="shared" si="14"/>
        <v>100</v>
      </c>
      <c r="X39" s="1815"/>
      <c r="Y39" s="3184"/>
      <c r="Z39" s="1816" t="str">
        <f t="shared" si="15"/>
        <v>层高</v>
      </c>
      <c r="AA39" s="1813">
        <f t="shared" si="3"/>
        <v>1</v>
      </c>
      <c r="AB39" s="1813">
        <f t="shared" si="4"/>
        <v>1</v>
      </c>
      <c r="AC39" s="1813">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2"/>
      <c r="Q40" s="1812" t="str">
        <f t="shared" si="11"/>
        <v>单套建筑面积</v>
      </c>
      <c r="R40" s="774" t="s">
        <v>17</v>
      </c>
      <c r="S40" s="775">
        <f t="shared" si="12"/>
        <v>100</v>
      </c>
      <c r="T40" s="774" t="s">
        <v>17</v>
      </c>
      <c r="U40" s="775">
        <f t="shared" si="13"/>
        <v>100</v>
      </c>
      <c r="V40" s="774" t="s">
        <v>17</v>
      </c>
      <c r="W40" s="775">
        <f t="shared" si="14"/>
        <v>100</v>
      </c>
      <c r="X40" s="1815"/>
      <c r="Y40" s="3184"/>
      <c r="Z40" s="1816" t="str">
        <f t="shared" si="15"/>
        <v>单套建筑面积</v>
      </c>
      <c r="AA40" s="1813">
        <f t="shared" si="3"/>
        <v>1</v>
      </c>
      <c r="AB40" s="1813">
        <f t="shared" si="4"/>
        <v>1</v>
      </c>
      <c r="AC40" s="1813">
        <f t="shared" si="5"/>
        <v>1</v>
      </c>
    </row>
    <row r="41" spans="1:29" s="471" customFormat="1" ht="15">
      <c r="A41" s="468"/>
      <c r="B41" s="1814"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2"/>
      <c r="Q41" s="776" t="str">
        <f t="shared" si="11"/>
        <v>进深比</v>
      </c>
      <c r="R41" s="777" t="s">
        <v>17</v>
      </c>
      <c r="S41" s="778">
        <f t="shared" si="12"/>
        <v>100</v>
      </c>
      <c r="T41" s="777" t="s">
        <v>17</v>
      </c>
      <c r="U41" s="778">
        <f t="shared" si="13"/>
        <v>100</v>
      </c>
      <c r="V41" s="777" t="s">
        <v>17</v>
      </c>
      <c r="W41" s="778">
        <f t="shared" si="14"/>
        <v>100</v>
      </c>
      <c r="X41" s="779"/>
      <c r="Y41" s="3184"/>
      <c r="Z41" s="780" t="str">
        <f t="shared" si="15"/>
        <v>进深比</v>
      </c>
      <c r="AA41" s="1813">
        <f t="shared" si="3"/>
        <v>1</v>
      </c>
      <c r="AB41" s="1813">
        <f t="shared" si="4"/>
        <v>1</v>
      </c>
      <c r="AC41" s="1813">
        <f t="shared" si="5"/>
        <v>1</v>
      </c>
    </row>
    <row r="42" spans="1:29" ht="15">
      <c r="A42" s="472"/>
      <c r="B42" s="422" t="s">
        <v>2669</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22"/>
      <c r="Q42" s="1812" t="str">
        <f t="shared" si="11"/>
        <v>内部装修</v>
      </c>
      <c r="R42" s="774" t="s">
        <v>17</v>
      </c>
      <c r="S42" s="775">
        <f t="shared" si="12"/>
        <v>100</v>
      </c>
      <c r="T42" s="774" t="s">
        <v>17</v>
      </c>
      <c r="U42" s="775">
        <f t="shared" si="13"/>
        <v>100</v>
      </c>
      <c r="V42" s="774" t="s">
        <v>17</v>
      </c>
      <c r="W42" s="775">
        <f t="shared" si="14"/>
        <v>100</v>
      </c>
      <c r="X42" s="1815"/>
      <c r="Y42" s="3184"/>
      <c r="Z42" s="1816" t="str">
        <f t="shared" si="15"/>
        <v>内部装修</v>
      </c>
      <c r="AA42" s="1813">
        <f t="shared" si="3"/>
        <v>1</v>
      </c>
      <c r="AB42" s="1813">
        <f t="shared" si="4"/>
        <v>1</v>
      </c>
      <c r="AC42" s="1813">
        <f t="shared" si="5"/>
        <v>1</v>
      </c>
    </row>
    <row r="43" spans="1:29" ht="15">
      <c r="A43" s="472"/>
      <c r="B43" s="422" t="s">
        <v>2577</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22"/>
      <c r="Q43" s="1812" t="str">
        <f t="shared" si="11"/>
        <v>内部装修维护情况</v>
      </c>
      <c r="R43" s="774" t="s">
        <v>17</v>
      </c>
      <c r="S43" s="775">
        <f t="shared" si="12"/>
        <v>100</v>
      </c>
      <c r="T43" s="774" t="s">
        <v>17</v>
      </c>
      <c r="U43" s="775">
        <f t="shared" si="13"/>
        <v>100</v>
      </c>
      <c r="V43" s="774" t="s">
        <v>17</v>
      </c>
      <c r="W43" s="775">
        <f t="shared" si="14"/>
        <v>100</v>
      </c>
      <c r="X43" s="1815"/>
      <c r="Y43" s="3184"/>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2"/>
      <c r="Q44" s="1797">
        <f t="shared" si="11"/>
        <v>111</v>
      </c>
      <c r="R44" s="770" t="s">
        <v>17</v>
      </c>
      <c r="S44" s="771">
        <f t="shared" si="12"/>
        <v>100</v>
      </c>
      <c r="T44" s="770" t="s">
        <v>17</v>
      </c>
      <c r="U44" s="771">
        <f t="shared" si="13"/>
        <v>100</v>
      </c>
      <c r="V44" s="770" t="s">
        <v>17</v>
      </c>
      <c r="W44" s="771">
        <f t="shared" si="14"/>
        <v>100</v>
      </c>
      <c r="X44" s="772"/>
      <c r="Y44" s="318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2"/>
      <c r="Q45" s="1812">
        <f t="shared" si="11"/>
        <v>111</v>
      </c>
      <c r="R45" s="774" t="s">
        <v>17</v>
      </c>
      <c r="S45" s="775">
        <f t="shared" si="12"/>
        <v>100</v>
      </c>
      <c r="T45" s="774" t="s">
        <v>17</v>
      </c>
      <c r="U45" s="775">
        <f t="shared" si="13"/>
        <v>100</v>
      </c>
      <c r="V45" s="774" t="s">
        <v>17</v>
      </c>
      <c r="W45" s="775">
        <f t="shared" si="14"/>
        <v>100</v>
      </c>
      <c r="X45" s="1815"/>
      <c r="Y45" s="3184"/>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3"/>
      <c r="Q46" s="1812">
        <f t="shared" si="11"/>
        <v>111</v>
      </c>
      <c r="R46" s="774" t="s">
        <v>17</v>
      </c>
      <c r="S46" s="775">
        <f t="shared" si="12"/>
        <v>100</v>
      </c>
      <c r="T46" s="774" t="s">
        <v>17</v>
      </c>
      <c r="U46" s="775">
        <f t="shared" si="13"/>
        <v>100</v>
      </c>
      <c r="V46" s="774" t="s">
        <v>17</v>
      </c>
      <c r="W46" s="775">
        <f t="shared" si="14"/>
        <v>100</v>
      </c>
      <c r="X46" s="1815"/>
      <c r="Y46" s="3224"/>
      <c r="Z46" s="1816">
        <f t="shared" si="15"/>
        <v>111</v>
      </c>
      <c r="AA46" s="1813">
        <f t="shared" si="3"/>
        <v>1</v>
      </c>
      <c r="AB46" s="1813">
        <f t="shared" si="4"/>
        <v>1</v>
      </c>
      <c r="AC46" s="1813">
        <f t="shared" si="5"/>
        <v>1</v>
      </c>
    </row>
    <row r="47" spans="1:29" ht="15">
      <c r="A47" s="479" t="s">
        <v>2578</v>
      </c>
      <c r="B47" s="480"/>
      <c r="C47" s="1410" t="s">
        <v>1</v>
      </c>
      <c r="D47" s="1411"/>
      <c r="E47" s="1412"/>
      <c r="F47" s="1413"/>
      <c r="G47" s="1414"/>
      <c r="H47" s="1415"/>
      <c r="I47" s="1412"/>
      <c r="J47" s="1415"/>
      <c r="K47" s="783"/>
      <c r="L47" s="1146"/>
      <c r="M47" s="1147"/>
      <c r="N47" s="1134"/>
      <c r="O47" s="1147"/>
      <c r="P47" s="3166" t="str">
        <f>A47</f>
        <v>成交单价（元/平方米）</v>
      </c>
      <c r="Q47" s="3166"/>
      <c r="R47" s="3179">
        <f>E47</f>
        <v>0</v>
      </c>
      <c r="S47" s="3179"/>
      <c r="T47" s="3179">
        <f>G47</f>
        <v>0</v>
      </c>
      <c r="U47" s="3179"/>
      <c r="V47" s="3179">
        <f>I47</f>
        <v>0</v>
      </c>
      <c r="W47" s="3179"/>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66" t="str">
        <f>A48</f>
        <v>比较价值（元/平方米）</v>
      </c>
      <c r="Q48" s="3166"/>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86" t="str">
        <f>A49</f>
        <v>估价对象XX用房的比较价值（楼面单价，元/平方米）</v>
      </c>
      <c r="Q49" s="3187"/>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2549</v>
      </c>
      <c r="B58" s="506"/>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2551</v>
      </c>
      <c r="B61" s="510"/>
      <c r="C61" s="522" t="s">
        <v>2653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2564</v>
      </c>
      <c r="B100" s="528" t="s">
        <v>2682</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2617</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2685</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E3" sqref="E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75" t="s">
        <v>2687</v>
      </c>
      <c r="C1" s="1622" t="s">
        <v>2531</v>
      </c>
      <c r="D1" s="1623"/>
      <c r="E1" s="1632"/>
      <c r="F1" s="259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1" t="e">
        <f ca="1">IF(C2="——",ROUND(C50*D3/10000,0),ROUND(C50*D3/10000,0)-D2)</f>
        <v>#DIV/0!</v>
      </c>
      <c r="C2" s="2592"/>
      <c r="D2" s="1368" t="e">
        <f ca="1">SUMIF(INDIRECT("'"&amp;F2&amp;"'"&amp;"!A:A"),"承租人权益价值",INDIRECT("'"&amp;F2&amp;"'"&amp;"!c:c"))</f>
        <v>#REF!</v>
      </c>
      <c r="E2" s="2593" t="s">
        <v>2332</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16471.48</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67" t="s">
        <v>2647</v>
      </c>
      <c r="D4" s="3168"/>
      <c r="E4" s="3169" t="s">
        <v>2648</v>
      </c>
      <c r="F4" s="3170"/>
      <c r="G4" s="3167" t="s">
        <v>2649</v>
      </c>
      <c r="H4" s="3168"/>
      <c r="I4" s="3167" t="s">
        <v>2650</v>
      </c>
      <c r="J4" s="3168"/>
      <c r="K4" s="610" t="s">
        <v>2651</v>
      </c>
      <c r="L4" s="1133"/>
      <c r="M4" s="1134"/>
      <c r="N4" s="1134"/>
      <c r="O4" s="1134"/>
      <c r="P4" s="3233" t="s">
        <v>2652</v>
      </c>
      <c r="Q4" s="3234"/>
      <c r="R4" s="3228" t="s">
        <v>2648</v>
      </c>
      <c r="S4" s="3229"/>
      <c r="T4" s="3228" t="s">
        <v>2649</v>
      </c>
      <c r="U4" s="3229"/>
      <c r="V4" s="3237" t="s">
        <v>2650</v>
      </c>
      <c r="W4" s="3237"/>
      <c r="X4" s="2676"/>
      <c r="Y4" s="3228" t="s">
        <v>2652</v>
      </c>
      <c r="Z4" s="3229"/>
      <c r="AA4" s="3227" t="s">
        <v>2648</v>
      </c>
      <c r="AB4" s="3227" t="s">
        <v>2649</v>
      </c>
      <c r="AC4" s="3230" t="s">
        <v>2650</v>
      </c>
    </row>
    <row r="5" spans="1:29" ht="15">
      <c r="A5" s="404"/>
      <c r="B5" s="405"/>
      <c r="C5" s="3160" t="s">
        <v>2543</v>
      </c>
      <c r="D5" s="3161"/>
      <c r="E5" s="3158" t="s">
        <v>2544</v>
      </c>
      <c r="F5" s="3159"/>
      <c r="G5" s="3160" t="s">
        <v>2545</v>
      </c>
      <c r="H5" s="3161"/>
      <c r="I5" s="3160" t="s">
        <v>2546</v>
      </c>
      <c r="J5" s="3161"/>
      <c r="K5" s="610"/>
      <c r="L5" s="1133"/>
      <c r="M5" s="1134"/>
      <c r="N5" s="1134"/>
      <c r="O5" s="1134"/>
      <c r="P5" s="3235"/>
      <c r="Q5" s="3174"/>
      <c r="R5" s="3156"/>
      <c r="S5" s="3157"/>
      <c r="T5" s="3156"/>
      <c r="U5" s="3157"/>
      <c r="V5" s="3179"/>
      <c r="W5" s="3179"/>
      <c r="X5" s="1815"/>
      <c r="Y5" s="3156"/>
      <c r="Z5" s="3157"/>
      <c r="AA5" s="3150"/>
      <c r="AB5" s="3150"/>
      <c r="AC5" s="3231"/>
    </row>
    <row r="6" spans="1:29" ht="15.75" thickBot="1">
      <c r="A6" s="406"/>
      <c r="B6" s="407"/>
      <c r="C6" s="3162" t="s">
        <v>2547</v>
      </c>
      <c r="D6" s="3163"/>
      <c r="E6" s="3164" t="s">
        <v>2547</v>
      </c>
      <c r="F6" s="3165"/>
      <c r="G6" s="3162" t="s">
        <v>2547</v>
      </c>
      <c r="H6" s="3163"/>
      <c r="I6" s="3162" t="s">
        <v>2547</v>
      </c>
      <c r="J6" s="3163"/>
      <c r="K6" s="610" t="s">
        <v>2548</v>
      </c>
      <c r="L6" s="1133"/>
      <c r="M6" s="1134"/>
      <c r="N6" s="1134"/>
      <c r="O6" s="1134"/>
      <c r="P6" s="3236"/>
      <c r="Q6" s="3176"/>
      <c r="R6" s="3156"/>
      <c r="S6" s="3157"/>
      <c r="T6" s="3177"/>
      <c r="U6" s="3178"/>
      <c r="V6" s="3179"/>
      <c r="W6" s="3179"/>
      <c r="X6" s="1815"/>
      <c r="Y6" s="3177"/>
      <c r="Z6" s="3178"/>
      <c r="AA6" s="3151"/>
      <c r="AB6" s="3151"/>
      <c r="AC6" s="3232"/>
    </row>
    <row r="7" spans="1:29" s="117" customFormat="1" ht="15.75" thickBot="1">
      <c r="A7" s="408" t="s">
        <v>2549</v>
      </c>
      <c r="B7" s="409"/>
      <c r="C7" s="410">
        <f>'数据-取费表'!B2</f>
        <v>43416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8" t="s">
        <v>2550</v>
      </c>
      <c r="Q7" s="3180"/>
      <c r="R7" s="770" t="s">
        <v>17</v>
      </c>
      <c r="S7" s="771">
        <f t="shared" ref="S7:S15" si="0">F7</f>
        <v>0</v>
      </c>
      <c r="T7" s="770" t="s">
        <v>17</v>
      </c>
      <c r="U7" s="771">
        <f t="shared" ref="U7:U15" si="1">H7</f>
        <v>0</v>
      </c>
      <c r="V7" s="770" t="s">
        <v>17</v>
      </c>
      <c r="W7" s="771">
        <f t="shared" ref="W7:W15" si="2">J7</f>
        <v>0</v>
      </c>
      <c r="X7" s="772"/>
      <c r="Y7" s="3152" t="s">
        <v>2550</v>
      </c>
      <c r="Z7" s="3153"/>
      <c r="AA7" s="773" t="e">
        <f>D7/F7</f>
        <v>#DIV/0!</v>
      </c>
      <c r="AB7" s="773" t="e">
        <f>D7/H7</f>
        <v>#DIV/0!</v>
      </c>
      <c r="AC7" s="2677"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8" t="s">
        <v>2553</v>
      </c>
      <c r="Q8" s="3153"/>
      <c r="R8" s="770" t="s">
        <v>17</v>
      </c>
      <c r="S8" s="771">
        <f t="shared" si="0"/>
        <v>0</v>
      </c>
      <c r="T8" s="770" t="s">
        <v>17</v>
      </c>
      <c r="U8" s="771">
        <f t="shared" si="1"/>
        <v>0</v>
      </c>
      <c r="V8" s="770" t="s">
        <v>17</v>
      </c>
      <c r="W8" s="771">
        <f t="shared" si="2"/>
        <v>0</v>
      </c>
      <c r="X8" s="772"/>
      <c r="Y8" s="3152" t="s">
        <v>2553</v>
      </c>
      <c r="Z8" s="3153"/>
      <c r="AA8" s="773" t="e">
        <f t="shared" ref="AA8:AA47" si="3">D8/F8</f>
        <v>#DIV/0!</v>
      </c>
      <c r="AB8" s="773" t="e">
        <f t="shared" ref="AB8:AB47" si="4">D8/H8</f>
        <v>#DIV/0!</v>
      </c>
      <c r="AC8" s="2677"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0" t="s">
        <v>2556</v>
      </c>
      <c r="Q9" s="1797"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2677">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0"/>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7">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0"/>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90"/>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90"/>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90"/>
      <c r="Q14" s="1797">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7">
        <f t="shared" si="5"/>
        <v>1</v>
      </c>
    </row>
    <row r="15" spans="1:29" ht="71.25">
      <c r="A15" s="440" t="s">
        <v>2560</v>
      </c>
      <c r="B15" s="629" t="s">
        <v>2688</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5" t="s">
        <v>2561</v>
      </c>
      <c r="Q15" s="1812" t="str">
        <f t="shared" si="6"/>
        <v>办公集聚程度</v>
      </c>
      <c r="R15" s="774" t="s">
        <v>17</v>
      </c>
      <c r="S15" s="775">
        <f t="shared" si="0"/>
        <v>100</v>
      </c>
      <c r="T15" s="774" t="s">
        <v>17</v>
      </c>
      <c r="U15" s="775">
        <f t="shared" si="1"/>
        <v>100</v>
      </c>
      <c r="V15" s="774" t="s">
        <v>17</v>
      </c>
      <c r="W15" s="775">
        <f t="shared" si="2"/>
        <v>100</v>
      </c>
      <c r="X15" s="1815"/>
      <c r="Y15" s="3181" t="s">
        <v>2561</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26"/>
      <c r="Q16" s="1812"/>
      <c r="R16" s="774"/>
      <c r="S16" s="775"/>
      <c r="T16" s="774"/>
      <c r="U16" s="775"/>
      <c r="V16" s="774"/>
      <c r="W16" s="775"/>
      <c r="X16" s="1815"/>
      <c r="Y16" s="3182"/>
      <c r="Z16" s="1816"/>
      <c r="AA16" s="1813">
        <v>1</v>
      </c>
      <c r="AB16" s="1813">
        <v>1</v>
      </c>
      <c r="AC16" s="2680">
        <v>1</v>
      </c>
    </row>
    <row r="17" spans="1:29" ht="71.25">
      <c r="A17" s="428"/>
      <c r="B17" s="631" t="s">
        <v>2101</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6"/>
      <c r="Q17" s="1812" t="str">
        <f>B17</f>
        <v>交通便捷度</v>
      </c>
      <c r="R17" s="774" t="s">
        <v>17</v>
      </c>
      <c r="S17" s="775">
        <f>F17</f>
        <v>100</v>
      </c>
      <c r="T17" s="774" t="s">
        <v>17</v>
      </c>
      <c r="U17" s="775">
        <f>H17</f>
        <v>100</v>
      </c>
      <c r="V17" s="774" t="s">
        <v>17</v>
      </c>
      <c r="W17" s="775">
        <f>J17</f>
        <v>100</v>
      </c>
      <c r="X17" s="1815"/>
      <c r="Y17" s="3182"/>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26"/>
      <c r="Q18" s="1812"/>
      <c r="R18" s="774"/>
      <c r="S18" s="775"/>
      <c r="T18" s="774"/>
      <c r="U18" s="775"/>
      <c r="V18" s="774"/>
      <c r="W18" s="775"/>
      <c r="X18" s="1815"/>
      <c r="Y18" s="3182"/>
      <c r="Z18" s="1816"/>
      <c r="AA18" s="1813">
        <v>1</v>
      </c>
      <c r="AB18" s="1813">
        <v>1</v>
      </c>
      <c r="AC18" s="2680">
        <v>1</v>
      </c>
    </row>
    <row r="19" spans="1:29" ht="42.75">
      <c r="A19" s="428"/>
      <c r="B19" s="631" t="s">
        <v>2689</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6"/>
      <c r="Q19" s="1812" t="str">
        <f>B19</f>
        <v>公共配套设施</v>
      </c>
      <c r="R19" s="774" t="s">
        <v>17</v>
      </c>
      <c r="S19" s="775">
        <f>F19</f>
        <v>100</v>
      </c>
      <c r="T19" s="774" t="s">
        <v>17</v>
      </c>
      <c r="U19" s="775">
        <f>H19</f>
        <v>100</v>
      </c>
      <c r="V19" s="774" t="s">
        <v>17</v>
      </c>
      <c r="W19" s="775">
        <f>J19</f>
        <v>100</v>
      </c>
      <c r="X19" s="1815"/>
      <c r="Y19" s="3182"/>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26"/>
      <c r="Q20" s="1812"/>
      <c r="R20" s="774"/>
      <c r="S20" s="775"/>
      <c r="T20" s="774"/>
      <c r="U20" s="775"/>
      <c r="V20" s="774"/>
      <c r="W20" s="775"/>
      <c r="X20" s="1815"/>
      <c r="Y20" s="3182"/>
      <c r="Z20" s="1816"/>
      <c r="AA20" s="1813">
        <v>1</v>
      </c>
      <c r="AB20" s="1813">
        <v>1</v>
      </c>
      <c r="AC20" s="2680">
        <v>1</v>
      </c>
    </row>
    <row r="21" spans="1:29" ht="28.5">
      <c r="A21" s="428"/>
      <c r="B21" s="633" t="s">
        <v>2690</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6"/>
      <c r="Q21" s="1812" t="str">
        <f>B21</f>
        <v>基础设施水平</v>
      </c>
      <c r="R21" s="774" t="s">
        <v>17</v>
      </c>
      <c r="S21" s="775">
        <f>F21</f>
        <v>100</v>
      </c>
      <c r="T21" s="774" t="s">
        <v>17</v>
      </c>
      <c r="U21" s="775">
        <f>H21</f>
        <v>100</v>
      </c>
      <c r="V21" s="774" t="s">
        <v>17</v>
      </c>
      <c r="W21" s="775">
        <f>J21</f>
        <v>100</v>
      </c>
      <c r="X21" s="1815"/>
      <c r="Y21" s="3182"/>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26"/>
      <c r="Q22" s="1812"/>
      <c r="R22" s="774"/>
      <c r="S22" s="775"/>
      <c r="T22" s="774"/>
      <c r="U22" s="775"/>
      <c r="V22" s="774"/>
      <c r="W22" s="775"/>
      <c r="X22" s="1815"/>
      <c r="Y22" s="3182"/>
      <c r="Z22" s="1816"/>
      <c r="AA22" s="1813">
        <v>1</v>
      </c>
      <c r="AB22" s="1813">
        <v>1</v>
      </c>
      <c r="AC22" s="2680">
        <v>1</v>
      </c>
    </row>
    <row r="23" spans="1:29" ht="42.75">
      <c r="A23" s="428"/>
      <c r="B23" s="631" t="s">
        <v>2691</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6"/>
      <c r="Q23" s="1812" t="str">
        <f>B23</f>
        <v>环境质量</v>
      </c>
      <c r="R23" s="774" t="s">
        <v>17</v>
      </c>
      <c r="S23" s="775">
        <f>F23</f>
        <v>100</v>
      </c>
      <c r="T23" s="774" t="s">
        <v>17</v>
      </c>
      <c r="U23" s="775">
        <f>H23</f>
        <v>100</v>
      </c>
      <c r="V23" s="774" t="s">
        <v>17</v>
      </c>
      <c r="W23" s="775">
        <f>J23</f>
        <v>100</v>
      </c>
      <c r="X23" s="1815"/>
      <c r="Y23" s="3182"/>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26"/>
      <c r="Q24" s="1812"/>
      <c r="R24" s="774"/>
      <c r="S24" s="775"/>
      <c r="T24" s="774"/>
      <c r="U24" s="775"/>
      <c r="V24" s="774"/>
      <c r="W24" s="775"/>
      <c r="X24" s="1815"/>
      <c r="Y24" s="3182"/>
      <c r="Z24" s="1816"/>
      <c r="AA24" s="1813">
        <v>1</v>
      </c>
      <c r="AB24" s="1813">
        <v>1</v>
      </c>
      <c r="AC24" s="2680">
        <v>1</v>
      </c>
    </row>
    <row r="25" spans="1:29" ht="27">
      <c r="A25" s="404"/>
      <c r="B25" s="631" t="s">
        <v>2692</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26"/>
      <c r="Q25" s="1812" t="str">
        <f>B25</f>
        <v>毗邻道路的类型与等级</v>
      </c>
      <c r="R25" s="774" t="s">
        <v>17</v>
      </c>
      <c r="S25" s="775">
        <f>F25</f>
        <v>100</v>
      </c>
      <c r="T25" s="774" t="s">
        <v>17</v>
      </c>
      <c r="U25" s="775">
        <f>H25</f>
        <v>100</v>
      </c>
      <c r="V25" s="774" t="s">
        <v>17</v>
      </c>
      <c r="W25" s="775">
        <f>J25</f>
        <v>100</v>
      </c>
      <c r="X25" s="1815"/>
      <c r="Y25" s="3182"/>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26"/>
      <c r="Q26" s="1812"/>
      <c r="R26" s="774"/>
      <c r="S26" s="775"/>
      <c r="T26" s="774"/>
      <c r="U26" s="775"/>
      <c r="V26" s="774"/>
      <c r="W26" s="775"/>
      <c r="X26" s="1815"/>
      <c r="Y26" s="3182"/>
      <c r="Z26" s="1816"/>
      <c r="AA26" s="1813">
        <v>1</v>
      </c>
      <c r="AB26" s="1813">
        <v>1</v>
      </c>
      <c r="AC26" s="2680">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6"/>
      <c r="Q27" s="1812" t="str">
        <f t="shared" ref="Q27:Q47" si="11">B27</f>
        <v>楼层</v>
      </c>
      <c r="R27" s="774" t="s">
        <v>17</v>
      </c>
      <c r="S27" s="775">
        <f>F27</f>
        <v>100</v>
      </c>
      <c r="T27" s="774" t="s">
        <v>17</v>
      </c>
      <c r="U27" s="775">
        <f>H27</f>
        <v>100</v>
      </c>
      <c r="V27" s="774" t="s">
        <v>17</v>
      </c>
      <c r="W27" s="775">
        <f>J27</f>
        <v>100</v>
      </c>
      <c r="X27" s="1815"/>
      <c r="Y27" s="3182"/>
      <c r="Z27" s="1816" t="str">
        <f>Q27</f>
        <v>楼层</v>
      </c>
      <c r="AA27" s="1813">
        <f t="shared" si="3"/>
        <v>1</v>
      </c>
      <c r="AB27" s="1813">
        <f t="shared" si="4"/>
        <v>1</v>
      </c>
      <c r="AC27" s="2680">
        <f t="shared" si="5"/>
        <v>1</v>
      </c>
    </row>
    <row r="28" spans="1:29" s="117" customFormat="1" ht="15">
      <c r="A28" s="431"/>
      <c r="B28" s="631" t="s">
        <v>2693</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26"/>
      <c r="Q28" s="1797" t="str">
        <f t="shared" si="11"/>
        <v>朝向</v>
      </c>
      <c r="R28" s="770" t="s">
        <v>17</v>
      </c>
      <c r="S28" s="771">
        <f>F28</f>
        <v>100</v>
      </c>
      <c r="T28" s="770" t="s">
        <v>17</v>
      </c>
      <c r="U28" s="771">
        <f>H28</f>
        <v>100</v>
      </c>
      <c r="V28" s="770" t="s">
        <v>17</v>
      </c>
      <c r="W28" s="771">
        <f>J28</f>
        <v>100</v>
      </c>
      <c r="X28" s="772"/>
      <c r="Y28" s="3182"/>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26"/>
      <c r="Q29" s="1812">
        <f t="shared" si="11"/>
        <v>111</v>
      </c>
      <c r="R29" s="774" t="s">
        <v>17</v>
      </c>
      <c r="S29" s="775">
        <f t="shared" ref="S29:S47" si="12">F29</f>
        <v>100</v>
      </c>
      <c r="T29" s="774" t="s">
        <v>17</v>
      </c>
      <c r="U29" s="775">
        <f t="shared" ref="U29:U47" si="13">H29</f>
        <v>100</v>
      </c>
      <c r="V29" s="774" t="s">
        <v>17</v>
      </c>
      <c r="W29" s="775">
        <f t="shared" ref="W29:W47" si="14">J29</f>
        <v>100</v>
      </c>
      <c r="X29" s="1815"/>
      <c r="Y29" s="3182"/>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26"/>
      <c r="Q30" s="1812">
        <f t="shared" si="11"/>
        <v>111</v>
      </c>
      <c r="R30" s="774" t="s">
        <v>17</v>
      </c>
      <c r="S30" s="775">
        <f t="shared" si="12"/>
        <v>100</v>
      </c>
      <c r="T30" s="774" t="s">
        <v>17</v>
      </c>
      <c r="U30" s="775">
        <f t="shared" si="13"/>
        <v>100</v>
      </c>
      <c r="V30" s="774" t="s">
        <v>17</v>
      </c>
      <c r="W30" s="775">
        <f t="shared" si="14"/>
        <v>100</v>
      </c>
      <c r="X30" s="1815"/>
      <c r="Y30" s="3182"/>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26"/>
      <c r="Q31" s="1812">
        <f t="shared" si="11"/>
        <v>111</v>
      </c>
      <c r="R31" s="774" t="s">
        <v>17</v>
      </c>
      <c r="S31" s="775">
        <f t="shared" si="12"/>
        <v>100</v>
      </c>
      <c r="T31" s="774" t="s">
        <v>17</v>
      </c>
      <c r="U31" s="775">
        <f t="shared" si="13"/>
        <v>100</v>
      </c>
      <c r="V31" s="774" t="s">
        <v>17</v>
      </c>
      <c r="W31" s="775">
        <f t="shared" si="14"/>
        <v>100</v>
      </c>
      <c r="X31" s="1815"/>
      <c r="Y31" s="3182"/>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26"/>
      <c r="Q32" s="1812">
        <f t="shared" si="11"/>
        <v>111</v>
      </c>
      <c r="R32" s="774" t="s">
        <v>17</v>
      </c>
      <c r="S32" s="775">
        <f t="shared" si="12"/>
        <v>100</v>
      </c>
      <c r="T32" s="774" t="s">
        <v>17</v>
      </c>
      <c r="U32" s="775">
        <f t="shared" si="13"/>
        <v>100</v>
      </c>
      <c r="V32" s="774" t="s">
        <v>17</v>
      </c>
      <c r="W32" s="775">
        <f t="shared" si="14"/>
        <v>100</v>
      </c>
      <c r="X32" s="1815"/>
      <c r="Y32" s="3182"/>
      <c r="Z32" s="1816">
        <f t="shared" si="15"/>
        <v>111</v>
      </c>
      <c r="AA32" s="1813">
        <f t="shared" si="3"/>
        <v>1</v>
      </c>
      <c r="AB32" s="1813">
        <f t="shared" si="4"/>
        <v>1</v>
      </c>
      <c r="AC32" s="2680">
        <f t="shared" si="5"/>
        <v>1</v>
      </c>
    </row>
    <row r="33" spans="1:29" ht="15">
      <c r="A33" s="440" t="s">
        <v>2564</v>
      </c>
      <c r="B33" s="71" t="s">
        <v>2694</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21" t="s">
        <v>2566</v>
      </c>
      <c r="Q33" s="1812" t="str">
        <f t="shared" si="11"/>
        <v>建筑类型</v>
      </c>
      <c r="R33" s="774" t="s">
        <v>17</v>
      </c>
      <c r="S33" s="775">
        <f t="shared" si="12"/>
        <v>100</v>
      </c>
      <c r="T33" s="774" t="s">
        <v>17</v>
      </c>
      <c r="U33" s="775">
        <f t="shared" si="13"/>
        <v>100</v>
      </c>
      <c r="V33" s="774" t="s">
        <v>17</v>
      </c>
      <c r="W33" s="775">
        <f t="shared" si="14"/>
        <v>100</v>
      </c>
      <c r="X33" s="1815"/>
      <c r="Y33" s="3184" t="s">
        <v>2566</v>
      </c>
      <c r="Z33" s="1816" t="str">
        <f t="shared" si="15"/>
        <v>建筑类型</v>
      </c>
      <c r="AA33" s="1813">
        <f t="shared" si="3"/>
        <v>1</v>
      </c>
      <c r="AB33" s="1813">
        <f t="shared" si="4"/>
        <v>1</v>
      </c>
      <c r="AC33" s="2680">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2"/>
      <c r="Q34" s="776" t="str">
        <f t="shared" si="11"/>
        <v>项目建筑规模</v>
      </c>
      <c r="R34" s="777" t="s">
        <v>17</v>
      </c>
      <c r="S34" s="778" t="e">
        <f t="shared" si="12"/>
        <v>#N/A</v>
      </c>
      <c r="T34" s="777" t="s">
        <v>17</v>
      </c>
      <c r="U34" s="778" t="e">
        <f t="shared" si="13"/>
        <v>#N/A</v>
      </c>
      <c r="V34" s="777" t="s">
        <v>17</v>
      </c>
      <c r="W34" s="778" t="e">
        <f t="shared" si="14"/>
        <v>#N/A</v>
      </c>
      <c r="X34" s="779"/>
      <c r="Y34" s="3184"/>
      <c r="Z34" s="780" t="str">
        <f t="shared" si="15"/>
        <v>项目建筑规模</v>
      </c>
      <c r="AA34" s="1813" t="e">
        <f t="shared" si="3"/>
        <v>#N/A</v>
      </c>
      <c r="AB34" s="1813" t="e">
        <f t="shared" si="4"/>
        <v>#N/A</v>
      </c>
      <c r="AC34" s="2680"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2"/>
      <c r="Q35" s="1812" t="str">
        <f t="shared" si="11"/>
        <v>建筑结构</v>
      </c>
      <c r="R35" s="774" t="s">
        <v>17</v>
      </c>
      <c r="S35" s="775">
        <f t="shared" si="12"/>
        <v>100</v>
      </c>
      <c r="T35" s="774" t="s">
        <v>17</v>
      </c>
      <c r="U35" s="775">
        <f t="shared" si="13"/>
        <v>100</v>
      </c>
      <c r="V35" s="774" t="s">
        <v>17</v>
      </c>
      <c r="W35" s="775">
        <f t="shared" si="14"/>
        <v>100</v>
      </c>
      <c r="X35" s="1815"/>
      <c r="Y35" s="3184"/>
      <c r="Z35" s="1816" t="str">
        <f t="shared" si="15"/>
        <v>建筑结构</v>
      </c>
      <c r="AA35" s="1813">
        <f t="shared" si="3"/>
        <v>1</v>
      </c>
      <c r="AB35" s="1813">
        <f t="shared" si="4"/>
        <v>1</v>
      </c>
      <c r="AC35" s="2680">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2"/>
      <c r="Q36" s="1812" t="str">
        <f t="shared" si="11"/>
        <v>公共部分装修</v>
      </c>
      <c r="R36" s="774" t="s">
        <v>17</v>
      </c>
      <c r="S36" s="775">
        <f t="shared" si="12"/>
        <v>100</v>
      </c>
      <c r="T36" s="774" t="s">
        <v>17</v>
      </c>
      <c r="U36" s="775">
        <f t="shared" si="13"/>
        <v>100</v>
      </c>
      <c r="V36" s="774" t="s">
        <v>17</v>
      </c>
      <c r="W36" s="775">
        <f t="shared" si="14"/>
        <v>100</v>
      </c>
      <c r="X36" s="1815"/>
      <c r="Y36" s="3184"/>
      <c r="Z36" s="1816" t="str">
        <f t="shared" si="15"/>
        <v>公共部分装修</v>
      </c>
      <c r="AA36" s="1813">
        <f t="shared" si="3"/>
        <v>1</v>
      </c>
      <c r="AB36" s="1813">
        <f t="shared" si="4"/>
        <v>1</v>
      </c>
      <c r="AC36" s="2680">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2"/>
      <c r="Q37" s="1812" t="str">
        <f t="shared" si="11"/>
        <v>成新度</v>
      </c>
      <c r="R37" s="774" t="s">
        <v>17</v>
      </c>
      <c r="S37" s="775" t="e">
        <f t="shared" si="12"/>
        <v>#N/A</v>
      </c>
      <c r="T37" s="774" t="s">
        <v>17</v>
      </c>
      <c r="U37" s="775" t="e">
        <f t="shared" si="13"/>
        <v>#N/A</v>
      </c>
      <c r="V37" s="774" t="s">
        <v>17</v>
      </c>
      <c r="W37" s="775" t="e">
        <f t="shared" si="14"/>
        <v>#N/A</v>
      </c>
      <c r="X37" s="1815"/>
      <c r="Y37" s="3184"/>
      <c r="Z37" s="1816" t="str">
        <f t="shared" si="15"/>
        <v>成新度</v>
      </c>
      <c r="AA37" s="1813" t="e">
        <f t="shared" si="3"/>
        <v>#N/A</v>
      </c>
      <c r="AB37" s="1813" t="e">
        <f t="shared" si="4"/>
        <v>#N/A</v>
      </c>
      <c r="AC37" s="2680"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2"/>
      <c r="Q38" s="1797" t="str">
        <f t="shared" si="11"/>
        <v>写字楼等级</v>
      </c>
      <c r="R38" s="770" t="s">
        <v>17</v>
      </c>
      <c r="S38" s="771">
        <f t="shared" si="12"/>
        <v>100</v>
      </c>
      <c r="T38" s="770" t="s">
        <v>17</v>
      </c>
      <c r="U38" s="771">
        <f t="shared" si="13"/>
        <v>100</v>
      </c>
      <c r="V38" s="770" t="s">
        <v>17</v>
      </c>
      <c r="W38" s="771">
        <f t="shared" si="14"/>
        <v>100</v>
      </c>
      <c r="X38" s="772"/>
      <c r="Y38" s="3184"/>
      <c r="Z38" s="55" t="str">
        <f t="shared" si="15"/>
        <v>写字楼等级</v>
      </c>
      <c r="AA38" s="773">
        <f t="shared" si="3"/>
        <v>1</v>
      </c>
      <c r="AB38" s="773">
        <f t="shared" si="4"/>
        <v>1</v>
      </c>
      <c r="AC38" s="2677">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2" t="s">
        <v>2566</v>
      </c>
      <c r="Q39" s="1812" t="str">
        <f t="shared" si="11"/>
        <v>物业管理</v>
      </c>
      <c r="R39" s="774" t="s">
        <v>17</v>
      </c>
      <c r="S39" s="775">
        <f t="shared" si="12"/>
        <v>100</v>
      </c>
      <c r="T39" s="774" t="s">
        <v>17</v>
      </c>
      <c r="U39" s="775">
        <f t="shared" si="13"/>
        <v>100</v>
      </c>
      <c r="V39" s="774" t="s">
        <v>17</v>
      </c>
      <c r="W39" s="775">
        <f t="shared" si="14"/>
        <v>100</v>
      </c>
      <c r="X39" s="1815"/>
      <c r="Y39" s="3184" t="s">
        <v>2566</v>
      </c>
      <c r="Z39" s="1816" t="str">
        <f t="shared" si="15"/>
        <v>物业管理</v>
      </c>
      <c r="AA39" s="1813">
        <f t="shared" si="3"/>
        <v>1</v>
      </c>
      <c r="AB39" s="1813">
        <f t="shared" si="4"/>
        <v>1</v>
      </c>
      <c r="AC39" s="268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2"/>
      <c r="Q40" s="1812" t="str">
        <f t="shared" si="11"/>
        <v>市政基础设施</v>
      </c>
      <c r="R40" s="774" t="s">
        <v>17</v>
      </c>
      <c r="S40" s="775">
        <f t="shared" si="12"/>
        <v>100</v>
      </c>
      <c r="T40" s="774" t="s">
        <v>17</v>
      </c>
      <c r="U40" s="775">
        <f t="shared" si="13"/>
        <v>100</v>
      </c>
      <c r="V40" s="774" t="s">
        <v>17</v>
      </c>
      <c r="W40" s="775">
        <f t="shared" si="14"/>
        <v>100</v>
      </c>
      <c r="X40" s="1815"/>
      <c r="Y40" s="3184"/>
      <c r="Z40" s="1816" t="str">
        <f t="shared" si="15"/>
        <v>市政基础设施</v>
      </c>
      <c r="AA40" s="1813">
        <f t="shared" si="3"/>
        <v>1</v>
      </c>
      <c r="AB40" s="1813">
        <f t="shared" si="4"/>
        <v>1</v>
      </c>
      <c r="AC40" s="268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2"/>
      <c r="Q41" s="1812" t="str">
        <f t="shared" si="11"/>
        <v>层高</v>
      </c>
      <c r="R41" s="774" t="s">
        <v>17</v>
      </c>
      <c r="S41" s="775">
        <f t="shared" si="12"/>
        <v>100</v>
      </c>
      <c r="T41" s="774" t="s">
        <v>17</v>
      </c>
      <c r="U41" s="775">
        <f t="shared" si="13"/>
        <v>100</v>
      </c>
      <c r="V41" s="774" t="s">
        <v>17</v>
      </c>
      <c r="W41" s="775">
        <f t="shared" si="14"/>
        <v>100</v>
      </c>
      <c r="X41" s="1815"/>
      <c r="Y41" s="3184"/>
      <c r="Z41" s="1816" t="str">
        <f t="shared" si="15"/>
        <v>层高</v>
      </c>
      <c r="AA41" s="1813">
        <f t="shared" si="3"/>
        <v>1</v>
      </c>
      <c r="AB41" s="1813">
        <f t="shared" si="4"/>
        <v>1</v>
      </c>
      <c r="AC41" s="2680">
        <f t="shared" si="5"/>
        <v>1</v>
      </c>
    </row>
    <row r="42" spans="1:29" s="471" customFormat="1" ht="15">
      <c r="A42" s="468"/>
      <c r="B42" s="1814"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2"/>
      <c r="Q42" s="776" t="str">
        <f t="shared" si="11"/>
        <v>单套建筑面积</v>
      </c>
      <c r="R42" s="777" t="s">
        <v>17</v>
      </c>
      <c r="S42" s="778">
        <f t="shared" si="12"/>
        <v>100</v>
      </c>
      <c r="T42" s="777" t="s">
        <v>17</v>
      </c>
      <c r="U42" s="778">
        <f t="shared" si="13"/>
        <v>100</v>
      </c>
      <c r="V42" s="777" t="s">
        <v>17</v>
      </c>
      <c r="W42" s="778">
        <f t="shared" si="14"/>
        <v>100</v>
      </c>
      <c r="X42" s="779"/>
      <c r="Y42" s="3184"/>
      <c r="Z42" s="780" t="str">
        <f t="shared" si="15"/>
        <v>单套建筑面积</v>
      </c>
      <c r="AA42" s="1813">
        <f t="shared" si="3"/>
        <v>1</v>
      </c>
      <c r="AB42" s="1813">
        <f t="shared" si="4"/>
        <v>1</v>
      </c>
      <c r="AC42" s="268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2"/>
      <c r="Q43" s="1812" t="str">
        <f t="shared" si="11"/>
        <v>内部装修</v>
      </c>
      <c r="R43" s="774" t="s">
        <v>17</v>
      </c>
      <c r="S43" s="775">
        <f t="shared" si="12"/>
        <v>100</v>
      </c>
      <c r="T43" s="774" t="s">
        <v>17</v>
      </c>
      <c r="U43" s="775">
        <f t="shared" si="13"/>
        <v>100</v>
      </c>
      <c r="V43" s="774" t="s">
        <v>17</v>
      </c>
      <c r="W43" s="775">
        <f t="shared" si="14"/>
        <v>100</v>
      </c>
      <c r="X43" s="1815"/>
      <c r="Y43" s="3184"/>
      <c r="Z43" s="1816" t="str">
        <f t="shared" si="15"/>
        <v>内部装修</v>
      </c>
      <c r="AA43" s="1813">
        <f t="shared" si="3"/>
        <v>1</v>
      </c>
      <c r="AB43" s="1813">
        <f t="shared" si="4"/>
        <v>1</v>
      </c>
      <c r="AC43" s="2680">
        <f t="shared" si="5"/>
        <v>1</v>
      </c>
    </row>
    <row r="44" spans="1:29" ht="15">
      <c r="A44" s="472"/>
      <c r="B44" s="422" t="s">
        <v>2577</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22"/>
      <c r="Q44" s="1812" t="str">
        <f t="shared" si="11"/>
        <v>内部装修维护情况</v>
      </c>
      <c r="R44" s="774" t="s">
        <v>17</v>
      </c>
      <c r="S44" s="775">
        <f t="shared" si="12"/>
        <v>100</v>
      </c>
      <c r="T44" s="774" t="s">
        <v>17</v>
      </c>
      <c r="U44" s="775">
        <f t="shared" si="13"/>
        <v>100</v>
      </c>
      <c r="V44" s="774" t="s">
        <v>17</v>
      </c>
      <c r="W44" s="775">
        <f t="shared" si="14"/>
        <v>100</v>
      </c>
      <c r="X44" s="1815"/>
      <c r="Y44" s="3184"/>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2"/>
      <c r="Q45" s="1797">
        <f t="shared" si="11"/>
        <v>111</v>
      </c>
      <c r="R45" s="770" t="s">
        <v>17</v>
      </c>
      <c r="S45" s="771">
        <f t="shared" si="12"/>
        <v>100</v>
      </c>
      <c r="T45" s="770" t="s">
        <v>17</v>
      </c>
      <c r="U45" s="771">
        <f t="shared" si="13"/>
        <v>100</v>
      </c>
      <c r="V45" s="770" t="s">
        <v>17</v>
      </c>
      <c r="W45" s="771">
        <f t="shared" si="14"/>
        <v>100</v>
      </c>
      <c r="X45" s="772"/>
      <c r="Y45" s="3184"/>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2"/>
      <c r="Q46" s="1812">
        <f t="shared" si="11"/>
        <v>111</v>
      </c>
      <c r="R46" s="774" t="s">
        <v>17</v>
      </c>
      <c r="S46" s="775">
        <f t="shared" si="12"/>
        <v>100</v>
      </c>
      <c r="T46" s="774" t="s">
        <v>17</v>
      </c>
      <c r="U46" s="775">
        <f t="shared" si="13"/>
        <v>100</v>
      </c>
      <c r="V46" s="774" t="s">
        <v>17</v>
      </c>
      <c r="W46" s="775">
        <f t="shared" si="14"/>
        <v>100</v>
      </c>
      <c r="X46" s="1815"/>
      <c r="Y46" s="3184"/>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3"/>
      <c r="Q47" s="1812">
        <f t="shared" si="11"/>
        <v>111</v>
      </c>
      <c r="R47" s="774" t="s">
        <v>17</v>
      </c>
      <c r="S47" s="775">
        <f t="shared" si="12"/>
        <v>100</v>
      </c>
      <c r="T47" s="774" t="s">
        <v>17</v>
      </c>
      <c r="U47" s="775">
        <f t="shared" si="13"/>
        <v>100</v>
      </c>
      <c r="V47" s="774" t="s">
        <v>17</v>
      </c>
      <c r="W47" s="775">
        <f t="shared" si="14"/>
        <v>100</v>
      </c>
      <c r="X47" s="1815"/>
      <c r="Y47" s="3224"/>
      <c r="Z47" s="1816">
        <f t="shared" si="15"/>
        <v>111</v>
      </c>
      <c r="AA47" s="1813">
        <f t="shared" si="3"/>
        <v>1</v>
      </c>
      <c r="AB47" s="1813">
        <f t="shared" si="4"/>
        <v>1</v>
      </c>
      <c r="AC47" s="2680">
        <f t="shared" si="5"/>
        <v>1</v>
      </c>
    </row>
    <row r="48" spans="1:29" ht="15">
      <c r="A48" s="479" t="s">
        <v>2578</v>
      </c>
      <c r="B48" s="480"/>
      <c r="C48" s="1410" t="s">
        <v>1</v>
      </c>
      <c r="D48" s="1411"/>
      <c r="E48" s="1412"/>
      <c r="F48" s="1413"/>
      <c r="G48" s="1414"/>
      <c r="H48" s="1415"/>
      <c r="I48" s="1412"/>
      <c r="J48" s="485"/>
      <c r="K48" s="783"/>
      <c r="L48" s="1146"/>
      <c r="M48" s="1134"/>
      <c r="N48" s="1134"/>
      <c r="O48" s="1134"/>
      <c r="P48" s="3190" t="str">
        <f>A48</f>
        <v>成交单价（元/平方米）</v>
      </c>
      <c r="Q48" s="3166"/>
      <c r="R48" s="3220">
        <f>E48</f>
        <v>0</v>
      </c>
      <c r="S48" s="3220"/>
      <c r="T48" s="3220">
        <f>G48</f>
        <v>0</v>
      </c>
      <c r="U48" s="3220"/>
      <c r="V48" s="3220">
        <f>I48</f>
        <v>0</v>
      </c>
      <c r="W48" s="3220"/>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90" t="str">
        <f>A49</f>
        <v>比较价值（元/平方米）</v>
      </c>
      <c r="Q49" s="3166"/>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39" t="str">
        <f>A50</f>
        <v>估价对象XX用房的比较价值（楼面单价，元/平方米）</v>
      </c>
      <c r="Q50" s="3240"/>
      <c r="R50" s="3241" t="e">
        <f>IF(F1="售价",ROUND(AVERAGE(R49:V49),0),ROUND(AVERAGE(R49:V49),1))</f>
        <v>#DIV/0!</v>
      </c>
      <c r="S50" s="3241"/>
      <c r="T50" s="3241"/>
      <c r="U50" s="3241"/>
      <c r="V50" s="3241"/>
      <c r="W50" s="3241"/>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7"/>
      <c r="Q58" s="504"/>
    </row>
    <row r="59" spans="1:29" s="508" customFormat="1" ht="15">
      <c r="A59" s="505" t="s">
        <v>2549</v>
      </c>
      <c r="B59" s="506"/>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2586</v>
      </c>
      <c r="B61" s="516"/>
      <c r="C61" s="517"/>
      <c r="D61" s="518"/>
      <c r="E61" s="518"/>
      <c r="F61" s="518"/>
      <c r="G61" s="518"/>
      <c r="H61" s="518"/>
      <c r="I61" s="518"/>
      <c r="J61" s="518"/>
      <c r="K61" s="518"/>
      <c r="L61" s="518"/>
      <c r="M61" s="519"/>
      <c r="N61" s="518"/>
      <c r="O61" s="519"/>
      <c r="P61" s="2688"/>
      <c r="Q61" s="504"/>
    </row>
    <row r="62" spans="1:29" s="117" customFormat="1" ht="15">
      <c r="A62" s="521" t="s">
        <v>2551</v>
      </c>
      <c r="B62" s="510"/>
      <c r="C62" s="522" t="s">
        <v>2653</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2589</v>
      </c>
      <c r="B64" s="528" t="s">
        <v>2555</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2700</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2564</v>
      </c>
      <c r="B101" s="528" t="s">
        <v>2613</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2615</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2617</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2618</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2619</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2702</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2621</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75" t="s">
        <v>2703</v>
      </c>
      <c r="C1" s="1622" t="s">
        <v>2531</v>
      </c>
      <c r="D1" s="1623"/>
      <c r="E1" s="1632"/>
      <c r="F1" s="259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1" t="e">
        <f ca="1">IF(C2="——",ROUND(C43*D3/10000,0),ROUND(C43*D3/10000,0)-D2)</f>
        <v>#DIV/0!</v>
      </c>
      <c r="C2" s="2592"/>
      <c r="D2" s="1127" t="e">
        <f ca="1">SUMIF(INDIRECT("'"&amp;F2&amp;"'"&amp;"!A:A"),"承租人权益价值",INDIRECT("'"&amp;F2&amp;"'"&amp;"!c:c"))</f>
        <v>#REF!</v>
      </c>
      <c r="E2" s="2593" t="s">
        <v>2332</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16471.48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67" t="s">
        <v>2647</v>
      </c>
      <c r="D4" s="3168"/>
      <c r="E4" s="3169" t="s">
        <v>2648</v>
      </c>
      <c r="F4" s="3170"/>
      <c r="G4" s="3167" t="s">
        <v>2649</v>
      </c>
      <c r="H4" s="3168"/>
      <c r="I4" s="3167" t="s">
        <v>2650</v>
      </c>
      <c r="J4" s="3168"/>
      <c r="K4" s="610" t="s">
        <v>2651</v>
      </c>
      <c r="L4" s="1133"/>
      <c r="M4" s="1134"/>
      <c r="N4" s="1134"/>
      <c r="O4" s="1134"/>
      <c r="P4" s="3171" t="s">
        <v>2652</v>
      </c>
      <c r="Q4" s="3172"/>
      <c r="R4" s="3154" t="s">
        <v>2648</v>
      </c>
      <c r="S4" s="3155"/>
      <c r="T4" s="3154" t="s">
        <v>2649</v>
      </c>
      <c r="U4" s="3155"/>
      <c r="V4" s="3179" t="s">
        <v>2650</v>
      </c>
      <c r="W4" s="3179"/>
      <c r="X4" s="1815"/>
      <c r="Y4" s="3154" t="s">
        <v>2652</v>
      </c>
      <c r="Z4" s="3155"/>
      <c r="AA4" s="3149" t="s">
        <v>2648</v>
      </c>
      <c r="AB4" s="3150" t="s">
        <v>2649</v>
      </c>
      <c r="AC4" s="3149" t="s">
        <v>2650</v>
      </c>
    </row>
    <row r="5" spans="1:29" ht="15">
      <c r="A5" s="404"/>
      <c r="B5" s="405"/>
      <c r="C5" s="3160" t="s">
        <v>2543</v>
      </c>
      <c r="D5" s="3161"/>
      <c r="E5" s="3158" t="s">
        <v>2544</v>
      </c>
      <c r="F5" s="3159"/>
      <c r="G5" s="3160" t="s">
        <v>2545</v>
      </c>
      <c r="H5" s="3161"/>
      <c r="I5" s="3160" t="s">
        <v>2546</v>
      </c>
      <c r="J5" s="3161"/>
      <c r="K5" s="610"/>
      <c r="L5" s="1133"/>
      <c r="M5" s="1134"/>
      <c r="N5" s="1134"/>
      <c r="O5" s="1134"/>
      <c r="P5" s="3173"/>
      <c r="Q5" s="3174"/>
      <c r="R5" s="3156"/>
      <c r="S5" s="3157"/>
      <c r="T5" s="3156"/>
      <c r="U5" s="3157"/>
      <c r="V5" s="3179"/>
      <c r="W5" s="3179"/>
      <c r="X5" s="1815"/>
      <c r="Y5" s="3156"/>
      <c r="Z5" s="3157"/>
      <c r="AA5" s="3150"/>
      <c r="AB5" s="3150"/>
      <c r="AC5" s="3150"/>
    </row>
    <row r="6" spans="1:29" ht="15.75" thickBot="1">
      <c r="A6" s="406"/>
      <c r="B6" s="407"/>
      <c r="C6" s="3162" t="s">
        <v>2547</v>
      </c>
      <c r="D6" s="3163"/>
      <c r="E6" s="3164" t="s">
        <v>2547</v>
      </c>
      <c r="F6" s="3165"/>
      <c r="G6" s="3162" t="s">
        <v>2547</v>
      </c>
      <c r="H6" s="3163"/>
      <c r="I6" s="3162" t="s">
        <v>2547</v>
      </c>
      <c r="J6" s="3163"/>
      <c r="K6" s="610" t="s">
        <v>2548</v>
      </c>
      <c r="L6" s="1133"/>
      <c r="M6" s="1134"/>
      <c r="N6" s="1134"/>
      <c r="O6" s="1134"/>
      <c r="P6" s="3175"/>
      <c r="Q6" s="3176"/>
      <c r="R6" s="3156"/>
      <c r="S6" s="3157"/>
      <c r="T6" s="3177"/>
      <c r="U6" s="3178"/>
      <c r="V6" s="3179"/>
      <c r="W6" s="3179"/>
      <c r="X6" s="1815"/>
      <c r="Y6" s="3177"/>
      <c r="Z6" s="3178"/>
      <c r="AA6" s="3151"/>
      <c r="AB6" s="3151"/>
      <c r="AC6" s="3151"/>
    </row>
    <row r="7" spans="1:29" s="117" customFormat="1" ht="15.75" thickBot="1">
      <c r="A7" s="408" t="s">
        <v>2549</v>
      </c>
      <c r="B7" s="409"/>
      <c r="C7" s="410">
        <f>'数据-取费表'!B2</f>
        <v>43416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2" t="s">
        <v>2550</v>
      </c>
      <c r="Q7" s="3180"/>
      <c r="R7" s="770" t="s">
        <v>17</v>
      </c>
      <c r="S7" s="771">
        <f t="shared" ref="S7:S15" si="0">F7</f>
        <v>0</v>
      </c>
      <c r="T7" s="770" t="s">
        <v>17</v>
      </c>
      <c r="U7" s="771">
        <f t="shared" ref="U7:U15" si="1">H7</f>
        <v>0</v>
      </c>
      <c r="V7" s="770" t="s">
        <v>17</v>
      </c>
      <c r="W7" s="771">
        <f t="shared" ref="W7:W15" si="2">J7</f>
        <v>0</v>
      </c>
      <c r="X7" s="772"/>
      <c r="Y7" s="3152" t="s">
        <v>2550</v>
      </c>
      <c r="Z7" s="3153"/>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2" t="s">
        <v>2553</v>
      </c>
      <c r="Q8" s="3153"/>
      <c r="R8" s="770" t="s">
        <v>17</v>
      </c>
      <c r="S8" s="771">
        <f t="shared" si="0"/>
        <v>0</v>
      </c>
      <c r="T8" s="770" t="s">
        <v>17</v>
      </c>
      <c r="U8" s="771">
        <f t="shared" si="1"/>
        <v>0</v>
      </c>
      <c r="V8" s="770" t="s">
        <v>17</v>
      </c>
      <c r="W8" s="771">
        <f t="shared" si="2"/>
        <v>0</v>
      </c>
      <c r="X8" s="772"/>
      <c r="Y8" s="3152" t="s">
        <v>2553</v>
      </c>
      <c r="Z8" s="3153"/>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6" t="s">
        <v>2556</v>
      </c>
      <c r="Q9" s="1797"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6"/>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6"/>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66"/>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66"/>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66"/>
      <c r="Q14" s="1797">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2560</v>
      </c>
      <c r="B15" s="69" t="s">
        <v>2704</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1" t="s">
        <v>2561</v>
      </c>
      <c r="Q15" s="1812" t="str">
        <f t="shared" si="6"/>
        <v>产业集聚程度</v>
      </c>
      <c r="R15" s="774" t="s">
        <v>17</v>
      </c>
      <c r="S15" s="775">
        <f t="shared" si="0"/>
        <v>100</v>
      </c>
      <c r="T15" s="774" t="s">
        <v>17</v>
      </c>
      <c r="U15" s="775">
        <f t="shared" si="1"/>
        <v>100</v>
      </c>
      <c r="V15" s="774" t="s">
        <v>17</v>
      </c>
      <c r="W15" s="775">
        <f t="shared" si="2"/>
        <v>100</v>
      </c>
      <c r="X15" s="1815"/>
      <c r="Y15" s="3181" t="s">
        <v>2561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2"/>
      <c r="Q16" s="1812"/>
      <c r="R16" s="774"/>
      <c r="S16" s="775"/>
      <c r="T16" s="774"/>
      <c r="U16" s="775"/>
      <c r="V16" s="774"/>
      <c r="W16" s="775"/>
      <c r="X16" s="1815"/>
      <c r="Y16" s="3182"/>
      <c r="Z16" s="1816"/>
      <c r="AA16" s="1813">
        <v>1</v>
      </c>
      <c r="AB16" s="1813">
        <v>1</v>
      </c>
      <c r="AC16" s="1813">
        <v>1</v>
      </c>
    </row>
    <row r="17" spans="1:29" ht="85.5">
      <c r="A17" s="428"/>
      <c r="B17" s="451" t="s">
        <v>2101</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2"/>
      <c r="Q17" s="1812" t="str">
        <f>B17</f>
        <v>交通便捷度</v>
      </c>
      <c r="R17" s="774" t="s">
        <v>17</v>
      </c>
      <c r="S17" s="775">
        <f>F17</f>
        <v>100</v>
      </c>
      <c r="T17" s="774" t="s">
        <v>17</v>
      </c>
      <c r="U17" s="775">
        <f>H17</f>
        <v>100</v>
      </c>
      <c r="V17" s="774" t="s">
        <v>17</v>
      </c>
      <c r="W17" s="775">
        <f>J17</f>
        <v>100</v>
      </c>
      <c r="X17" s="1815"/>
      <c r="Y17" s="3182"/>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182"/>
      <c r="Q18" s="1812"/>
      <c r="R18" s="774"/>
      <c r="S18" s="775"/>
      <c r="T18" s="774"/>
      <c r="U18" s="775"/>
      <c r="V18" s="774"/>
      <c r="W18" s="775"/>
      <c r="X18" s="1815"/>
      <c r="Y18" s="3182"/>
      <c r="Z18" s="1816"/>
      <c r="AA18" s="1813">
        <v>1</v>
      </c>
      <c r="AB18" s="1813">
        <v>1</v>
      </c>
      <c r="AC18" s="1813">
        <v>1</v>
      </c>
    </row>
    <row r="19" spans="1:29" ht="42.75">
      <c r="A19" s="428"/>
      <c r="B19" s="451" t="s">
        <v>2689</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2"/>
      <c r="Q19" s="1812" t="str">
        <f>B19</f>
        <v>公共配套设施</v>
      </c>
      <c r="R19" s="774" t="s">
        <v>17</v>
      </c>
      <c r="S19" s="775">
        <f>F19</f>
        <v>100</v>
      </c>
      <c r="T19" s="774" t="s">
        <v>17</v>
      </c>
      <c r="U19" s="775">
        <f>H19</f>
        <v>100</v>
      </c>
      <c r="V19" s="774" t="s">
        <v>17</v>
      </c>
      <c r="W19" s="775">
        <f>J19</f>
        <v>100</v>
      </c>
      <c r="X19" s="1815"/>
      <c r="Y19" s="3182"/>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182"/>
      <c r="Q20" s="1812"/>
      <c r="R20" s="774"/>
      <c r="S20" s="775"/>
      <c r="T20" s="774"/>
      <c r="U20" s="775"/>
      <c r="V20" s="774"/>
      <c r="W20" s="775"/>
      <c r="X20" s="1815"/>
      <c r="Y20" s="3182"/>
      <c r="Z20" s="1816"/>
      <c r="AA20" s="1813">
        <v>1</v>
      </c>
      <c r="AB20" s="1813">
        <v>1</v>
      </c>
      <c r="AC20" s="1813">
        <v>1</v>
      </c>
    </row>
    <row r="21" spans="1:29" ht="28.5">
      <c r="A21" s="428"/>
      <c r="B21" s="1387" t="s">
        <v>2690</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2"/>
      <c r="Q21" s="1812" t="str">
        <f>B21</f>
        <v>基础设施水平</v>
      </c>
      <c r="R21" s="774" t="s">
        <v>17</v>
      </c>
      <c r="S21" s="775">
        <f>F21</f>
        <v>100</v>
      </c>
      <c r="T21" s="774" t="s">
        <v>17</v>
      </c>
      <c r="U21" s="775">
        <f>H21</f>
        <v>100</v>
      </c>
      <c r="V21" s="774" t="s">
        <v>17</v>
      </c>
      <c r="W21" s="775">
        <f>J21</f>
        <v>100</v>
      </c>
      <c r="X21" s="1815"/>
      <c r="Y21" s="3182"/>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182"/>
      <c r="Q22" s="1812"/>
      <c r="R22" s="774"/>
      <c r="S22" s="775"/>
      <c r="T22" s="774"/>
      <c r="U22" s="775"/>
      <c r="V22" s="774"/>
      <c r="W22" s="775"/>
      <c r="X22" s="1815"/>
      <c r="Y22" s="3182"/>
      <c r="Z22" s="1816"/>
      <c r="AA22" s="1813">
        <v>1</v>
      </c>
      <c r="AB22" s="1813">
        <v>1</v>
      </c>
      <c r="AC22" s="1813">
        <v>1</v>
      </c>
    </row>
    <row r="23" spans="1:29" ht="71.25">
      <c r="A23" s="428"/>
      <c r="B23" s="451" t="s">
        <v>2691</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2"/>
      <c r="Q23" s="1812" t="str">
        <f>B23</f>
        <v>环境质量</v>
      </c>
      <c r="R23" s="774" t="s">
        <v>17</v>
      </c>
      <c r="S23" s="775">
        <f>F23</f>
        <v>100</v>
      </c>
      <c r="T23" s="774" t="s">
        <v>17</v>
      </c>
      <c r="U23" s="775">
        <f>H23</f>
        <v>100</v>
      </c>
      <c r="V23" s="774" t="s">
        <v>17</v>
      </c>
      <c r="W23" s="775">
        <f>J23</f>
        <v>100</v>
      </c>
      <c r="X23" s="1815"/>
      <c r="Y23" s="3182"/>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182"/>
      <c r="Q24" s="1812"/>
      <c r="R24" s="774"/>
      <c r="S24" s="775"/>
      <c r="T24" s="774"/>
      <c r="U24" s="775"/>
      <c r="V24" s="774"/>
      <c r="W24" s="775"/>
      <c r="X24" s="1815"/>
      <c r="Y24" s="3182"/>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2"/>
      <c r="Q25" s="1812">
        <f>B25</f>
        <v>111</v>
      </c>
      <c r="R25" s="774" t="s">
        <v>17</v>
      </c>
      <c r="S25" s="775">
        <f>F25</f>
        <v>100</v>
      </c>
      <c r="T25" s="774" t="s">
        <v>17</v>
      </c>
      <c r="U25" s="775">
        <f>H25</f>
        <v>100</v>
      </c>
      <c r="V25" s="774" t="s">
        <v>17</v>
      </c>
      <c r="W25" s="775">
        <f>J25</f>
        <v>100</v>
      </c>
      <c r="X25" s="1815"/>
      <c r="Y25" s="3182"/>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2"/>
      <c r="Q26" s="1812">
        <f t="shared" ref="Q26:Q40" si="11">B26</f>
        <v>111</v>
      </c>
      <c r="R26" s="774" t="s">
        <v>17</v>
      </c>
      <c r="S26" s="775">
        <f>F26</f>
        <v>100</v>
      </c>
      <c r="T26" s="774" t="s">
        <v>17</v>
      </c>
      <c r="U26" s="775">
        <f>H26</f>
        <v>100</v>
      </c>
      <c r="V26" s="774" t="s">
        <v>17</v>
      </c>
      <c r="W26" s="775">
        <f>J26</f>
        <v>100</v>
      </c>
      <c r="X26" s="1815"/>
      <c r="Y26" s="3182"/>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2"/>
      <c r="Q27" s="1797">
        <f t="shared" si="11"/>
        <v>111</v>
      </c>
      <c r="R27" s="770" t="s">
        <v>17</v>
      </c>
      <c r="S27" s="771">
        <f>F27</f>
        <v>100</v>
      </c>
      <c r="T27" s="770" t="s">
        <v>17</v>
      </c>
      <c r="U27" s="771">
        <f>H27</f>
        <v>100</v>
      </c>
      <c r="V27" s="770" t="s">
        <v>17</v>
      </c>
      <c r="W27" s="771">
        <f>J27</f>
        <v>100</v>
      </c>
      <c r="X27" s="772"/>
      <c r="Y27" s="3182"/>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2"/>
      <c r="Q28" s="1812">
        <f t="shared" si="11"/>
        <v>111</v>
      </c>
      <c r="R28" s="774" t="s">
        <v>17</v>
      </c>
      <c r="S28" s="775">
        <f t="shared" ref="S28:S40" si="12">F28</f>
        <v>100</v>
      </c>
      <c r="T28" s="774" t="s">
        <v>17</v>
      </c>
      <c r="U28" s="775">
        <f t="shared" ref="U28:U40" si="13">H28</f>
        <v>100</v>
      </c>
      <c r="V28" s="774" t="s">
        <v>17</v>
      </c>
      <c r="W28" s="775">
        <f t="shared" ref="W28:W40" si="14">J28</f>
        <v>100</v>
      </c>
      <c r="X28" s="1815"/>
      <c r="Y28" s="3182"/>
      <c r="Z28" s="1816">
        <f t="shared" ref="Z28:Z40" si="15">Q28</f>
        <v>111</v>
      </c>
      <c r="AA28" s="1813">
        <f t="shared" si="3"/>
        <v>1</v>
      </c>
      <c r="AB28" s="1813">
        <f t="shared" si="4"/>
        <v>1</v>
      </c>
      <c r="AC28" s="1813">
        <f t="shared" si="5"/>
        <v>1</v>
      </c>
    </row>
    <row r="29" spans="1:29" ht="15">
      <c r="A29" s="466" t="s">
        <v>2564</v>
      </c>
      <c r="B29" s="71" t="s">
        <v>2694</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83" t="s">
        <v>2566</v>
      </c>
      <c r="Q29" s="1812" t="str">
        <f t="shared" si="11"/>
        <v>建筑类型</v>
      </c>
      <c r="R29" s="774" t="s">
        <v>17</v>
      </c>
      <c r="S29" s="775">
        <f t="shared" si="12"/>
        <v>100</v>
      </c>
      <c r="T29" s="774" t="s">
        <v>17</v>
      </c>
      <c r="U29" s="775">
        <f t="shared" si="13"/>
        <v>100</v>
      </c>
      <c r="V29" s="774" t="s">
        <v>17</v>
      </c>
      <c r="W29" s="775">
        <f t="shared" si="14"/>
        <v>100</v>
      </c>
      <c r="X29" s="1815"/>
      <c r="Y29" s="3184" t="s">
        <v>2566</v>
      </c>
      <c r="Z29" s="1816" t="str">
        <f t="shared" si="15"/>
        <v>建筑类型</v>
      </c>
      <c r="AA29" s="1813">
        <f t="shared" si="3"/>
        <v>1</v>
      </c>
      <c r="AB29" s="1813">
        <f t="shared" si="4"/>
        <v>1</v>
      </c>
      <c r="AC29" s="1813">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4"/>
      <c r="Q30" s="776" t="str">
        <f t="shared" si="11"/>
        <v>项目建筑规模</v>
      </c>
      <c r="R30" s="777" t="s">
        <v>17</v>
      </c>
      <c r="S30" s="778" t="e">
        <f t="shared" si="12"/>
        <v>#N/A</v>
      </c>
      <c r="T30" s="777" t="s">
        <v>17</v>
      </c>
      <c r="U30" s="778" t="e">
        <f t="shared" si="13"/>
        <v>#N/A</v>
      </c>
      <c r="V30" s="777" t="s">
        <v>17</v>
      </c>
      <c r="W30" s="778" t="e">
        <f t="shared" si="14"/>
        <v>#N/A</v>
      </c>
      <c r="X30" s="779"/>
      <c r="Y30" s="3184"/>
      <c r="Z30" s="780" t="str">
        <f t="shared" si="15"/>
        <v>项目建筑规模</v>
      </c>
      <c r="AA30" s="1813" t="e">
        <f t="shared" si="3"/>
        <v>#N/A</v>
      </c>
      <c r="AB30" s="1813" t="e">
        <f t="shared" si="4"/>
        <v>#N/A</v>
      </c>
      <c r="AC30" s="1813"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4"/>
      <c r="Q31" s="1812" t="str">
        <f t="shared" si="11"/>
        <v>建筑结构</v>
      </c>
      <c r="R31" s="774" t="s">
        <v>17</v>
      </c>
      <c r="S31" s="775">
        <f t="shared" si="12"/>
        <v>100</v>
      </c>
      <c r="T31" s="774" t="s">
        <v>17</v>
      </c>
      <c r="U31" s="775">
        <f t="shared" si="13"/>
        <v>100</v>
      </c>
      <c r="V31" s="774" t="s">
        <v>17</v>
      </c>
      <c r="W31" s="775">
        <f t="shared" si="14"/>
        <v>100</v>
      </c>
      <c r="X31" s="1815"/>
      <c r="Y31" s="3184"/>
      <c r="Z31" s="1816" t="str">
        <f t="shared" si="15"/>
        <v>建筑结构</v>
      </c>
      <c r="AA31" s="1813">
        <f t="shared" si="3"/>
        <v>1</v>
      </c>
      <c r="AB31" s="1813">
        <f t="shared" si="4"/>
        <v>1</v>
      </c>
      <c r="AC31" s="1813">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4"/>
      <c r="Q32" s="1812" t="str">
        <f t="shared" si="11"/>
        <v>公共部分装修</v>
      </c>
      <c r="R32" s="774" t="s">
        <v>17</v>
      </c>
      <c r="S32" s="775">
        <f t="shared" si="12"/>
        <v>100</v>
      </c>
      <c r="T32" s="774" t="s">
        <v>17</v>
      </c>
      <c r="U32" s="775">
        <f t="shared" si="13"/>
        <v>100</v>
      </c>
      <c r="V32" s="774" t="s">
        <v>17</v>
      </c>
      <c r="W32" s="775">
        <f t="shared" si="14"/>
        <v>100</v>
      </c>
      <c r="X32" s="1815"/>
      <c r="Y32" s="3184"/>
      <c r="Z32" s="1816" t="str">
        <f t="shared" si="15"/>
        <v>公共部分装修</v>
      </c>
      <c r="AA32" s="1813">
        <f t="shared" si="3"/>
        <v>1</v>
      </c>
      <c r="AB32" s="1813">
        <f t="shared" si="4"/>
        <v>1</v>
      </c>
      <c r="AC32" s="1813">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4"/>
      <c r="Q33" s="1812" t="str">
        <f t="shared" si="11"/>
        <v>成新度</v>
      </c>
      <c r="R33" s="774" t="s">
        <v>17</v>
      </c>
      <c r="S33" s="775" t="e">
        <f t="shared" si="12"/>
        <v>#N/A</v>
      </c>
      <c r="T33" s="774" t="s">
        <v>17</v>
      </c>
      <c r="U33" s="775" t="e">
        <f t="shared" si="13"/>
        <v>#N/A</v>
      </c>
      <c r="V33" s="774" t="s">
        <v>17</v>
      </c>
      <c r="W33" s="775" t="e">
        <f t="shared" si="14"/>
        <v>#N/A</v>
      </c>
      <c r="X33" s="1815"/>
      <c r="Y33" s="3184"/>
      <c r="Z33" s="1816" t="str">
        <f t="shared" si="15"/>
        <v>成新度</v>
      </c>
      <c r="AA33" s="1813" t="e">
        <f t="shared" si="3"/>
        <v>#N/A</v>
      </c>
      <c r="AB33" s="1813" t="e">
        <f t="shared" si="4"/>
        <v>#N/A</v>
      </c>
      <c r="AC33" s="1813"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4"/>
      <c r="Q34" s="1797" t="str">
        <f t="shared" si="11"/>
        <v>物业管理</v>
      </c>
      <c r="R34" s="770" t="s">
        <v>17</v>
      </c>
      <c r="S34" s="771">
        <f t="shared" si="12"/>
        <v>100</v>
      </c>
      <c r="T34" s="770" t="s">
        <v>17</v>
      </c>
      <c r="U34" s="771">
        <f t="shared" si="13"/>
        <v>100</v>
      </c>
      <c r="V34" s="770" t="s">
        <v>17</v>
      </c>
      <c r="W34" s="771">
        <f t="shared" si="14"/>
        <v>100</v>
      </c>
      <c r="X34" s="772"/>
      <c r="Y34" s="318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4" t="s">
        <v>2566</v>
      </c>
      <c r="Q35" s="1812" t="str">
        <f t="shared" si="11"/>
        <v>市政基础设施</v>
      </c>
      <c r="R35" s="774" t="s">
        <v>17</v>
      </c>
      <c r="S35" s="775">
        <f t="shared" si="12"/>
        <v>100</v>
      </c>
      <c r="T35" s="774" t="s">
        <v>17</v>
      </c>
      <c r="U35" s="775">
        <f t="shared" si="13"/>
        <v>100</v>
      </c>
      <c r="V35" s="774" t="s">
        <v>17</v>
      </c>
      <c r="W35" s="775">
        <f t="shared" si="14"/>
        <v>100</v>
      </c>
      <c r="X35" s="1815"/>
      <c r="Y35" s="3184" t="s">
        <v>2566</v>
      </c>
      <c r="Z35" s="1816" t="str">
        <f t="shared" si="15"/>
        <v>市政基础设施</v>
      </c>
      <c r="AA35" s="1813">
        <f t="shared" si="3"/>
        <v>1</v>
      </c>
      <c r="AB35" s="1813">
        <f t="shared" si="4"/>
        <v>1</v>
      </c>
      <c r="AC35" s="1813">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4"/>
      <c r="Q36" s="1812" t="str">
        <f t="shared" si="11"/>
        <v>内部装修</v>
      </c>
      <c r="R36" s="774" t="s">
        <v>17</v>
      </c>
      <c r="S36" s="775">
        <f t="shared" si="12"/>
        <v>100</v>
      </c>
      <c r="T36" s="774" t="s">
        <v>17</v>
      </c>
      <c r="U36" s="775">
        <f t="shared" si="13"/>
        <v>100</v>
      </c>
      <c r="V36" s="774" t="s">
        <v>17</v>
      </c>
      <c r="W36" s="775">
        <f t="shared" si="14"/>
        <v>100</v>
      </c>
      <c r="X36" s="1815"/>
      <c r="Y36" s="3184"/>
      <c r="Z36" s="1816" t="str">
        <f t="shared" si="15"/>
        <v>内部装修</v>
      </c>
      <c r="AA36" s="1813">
        <f t="shared" si="3"/>
        <v>1</v>
      </c>
      <c r="AB36" s="1813">
        <f t="shared" si="4"/>
        <v>1</v>
      </c>
      <c r="AC36" s="1813">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4"/>
      <c r="Q37" s="1812" t="str">
        <f t="shared" si="11"/>
        <v>内部装修状况</v>
      </c>
      <c r="R37" s="774" t="s">
        <v>17</v>
      </c>
      <c r="S37" s="775">
        <f t="shared" si="12"/>
        <v>100</v>
      </c>
      <c r="T37" s="774" t="s">
        <v>17</v>
      </c>
      <c r="U37" s="775">
        <f t="shared" si="13"/>
        <v>100</v>
      </c>
      <c r="V37" s="774" t="s">
        <v>17</v>
      </c>
      <c r="W37" s="775">
        <f t="shared" si="14"/>
        <v>100</v>
      </c>
      <c r="X37" s="1815"/>
      <c r="Y37" s="3184"/>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4"/>
      <c r="Q38" s="776">
        <f t="shared" si="11"/>
        <v>111</v>
      </c>
      <c r="R38" s="777" t="s">
        <v>17</v>
      </c>
      <c r="S38" s="778">
        <f t="shared" si="12"/>
        <v>100</v>
      </c>
      <c r="T38" s="777" t="s">
        <v>17</v>
      </c>
      <c r="U38" s="778">
        <f t="shared" si="13"/>
        <v>100</v>
      </c>
      <c r="V38" s="777" t="s">
        <v>17</v>
      </c>
      <c r="W38" s="778">
        <f t="shared" si="14"/>
        <v>100</v>
      </c>
      <c r="X38" s="779"/>
      <c r="Y38" s="3184"/>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4"/>
      <c r="Q39" s="1812">
        <f t="shared" si="11"/>
        <v>111</v>
      </c>
      <c r="R39" s="774" t="s">
        <v>17</v>
      </c>
      <c r="S39" s="775">
        <f t="shared" si="12"/>
        <v>100</v>
      </c>
      <c r="T39" s="774" t="s">
        <v>17</v>
      </c>
      <c r="U39" s="775">
        <f t="shared" si="13"/>
        <v>100</v>
      </c>
      <c r="V39" s="774" t="s">
        <v>17</v>
      </c>
      <c r="W39" s="775">
        <f t="shared" si="14"/>
        <v>100</v>
      </c>
      <c r="X39" s="1815"/>
      <c r="Y39" s="3184"/>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4"/>
      <c r="Q40" s="1812">
        <f t="shared" si="11"/>
        <v>111</v>
      </c>
      <c r="R40" s="774" t="s">
        <v>17</v>
      </c>
      <c r="S40" s="775">
        <f t="shared" si="12"/>
        <v>100</v>
      </c>
      <c r="T40" s="774" t="s">
        <v>17</v>
      </c>
      <c r="U40" s="775">
        <f t="shared" si="13"/>
        <v>100</v>
      </c>
      <c r="V40" s="774" t="s">
        <v>17</v>
      </c>
      <c r="W40" s="775">
        <f t="shared" si="14"/>
        <v>100</v>
      </c>
      <c r="X40" s="1815"/>
      <c r="Y40" s="3224"/>
      <c r="Z40" s="1816">
        <f t="shared" si="15"/>
        <v>111</v>
      </c>
      <c r="AA40" s="1813">
        <f t="shared" si="3"/>
        <v>1</v>
      </c>
      <c r="AB40" s="1813">
        <f t="shared" si="4"/>
        <v>1</v>
      </c>
      <c r="AC40" s="1813">
        <f t="shared" si="5"/>
        <v>1</v>
      </c>
    </row>
    <row r="41" spans="1:29" ht="15">
      <c r="A41" s="479" t="s">
        <v>2578</v>
      </c>
      <c r="B41" s="480"/>
      <c r="C41" s="1410" t="s">
        <v>1</v>
      </c>
      <c r="D41" s="1411"/>
      <c r="E41" s="1412"/>
      <c r="F41" s="1413"/>
      <c r="G41" s="1414"/>
      <c r="H41" s="1415"/>
      <c r="I41" s="1412"/>
      <c r="J41" s="1415"/>
      <c r="K41" s="783"/>
      <c r="L41" s="1146"/>
      <c r="M41" s="1147"/>
      <c r="N41" s="1134"/>
      <c r="O41" s="1147"/>
      <c r="P41" s="3166" t="str">
        <f>A41</f>
        <v>成交单价（元/平方米）</v>
      </c>
      <c r="Q41" s="3166"/>
      <c r="R41" s="3220">
        <f>E41</f>
        <v>0</v>
      </c>
      <c r="S41" s="3220"/>
      <c r="T41" s="3220">
        <f>G41</f>
        <v>0</v>
      </c>
      <c r="U41" s="3220"/>
      <c r="V41" s="3220">
        <f>I41</f>
        <v>0</v>
      </c>
      <c r="W41" s="3220"/>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66" t="str">
        <f>A42</f>
        <v>比较价值（元/平方米）</v>
      </c>
      <c r="Q42" s="3166"/>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86" t="str">
        <f>A43</f>
        <v>估价对象XX用房的比较价值（楼面单价，元/平方米）</v>
      </c>
      <c r="Q43" s="3187"/>
      <c r="R43" s="3219" t="e">
        <f>IF(F1="售价",ROUND(AVERAGE(R42:V42),0),ROUND(AVERAGE(R42:V42),1))</f>
        <v>#DIV/0!</v>
      </c>
      <c r="S43" s="3219"/>
      <c r="T43" s="3219"/>
      <c r="U43" s="3219"/>
      <c r="V43" s="3219"/>
      <c r="W43" s="321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24"/>
      <c r="F1" s="2590"/>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2331</v>
      </c>
      <c r="B2" s="1421" t="e">
        <f ca="1">IF(C2="——",IF(B37="元/平方米",ROUND(C39*D3/10000,0),ROUND(F3*C39/10000,0)),IF(B37="元/平方米",ROUND(C39*D3/10000,0),ROUND(F3*C39/10000,0))-D2)</f>
        <v>#DIV/0!</v>
      </c>
      <c r="C2" s="2592"/>
      <c r="D2" s="1127" t="e">
        <f ca="1">SUMIF(INDIRECT("'"&amp;F2&amp;"'"&amp;"!A:A"),"承租人权益价值",INDIRECT("'"&amp;F2&amp;"'"&amp;"!c:c"))</f>
        <v>#REF!</v>
      </c>
      <c r="E2" s="2593" t="s">
        <v>2332</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67" t="s">
        <v>2647</v>
      </c>
      <c r="D4" s="3168"/>
      <c r="E4" s="3169" t="s">
        <v>2648</v>
      </c>
      <c r="F4" s="3170"/>
      <c r="G4" s="3167" t="s">
        <v>2649</v>
      </c>
      <c r="H4" s="3168"/>
      <c r="I4" s="3167" t="s">
        <v>2650</v>
      </c>
      <c r="J4" s="3168"/>
      <c r="K4" s="610" t="s">
        <v>2651</v>
      </c>
      <c r="L4" s="1133"/>
      <c r="M4" s="1134"/>
      <c r="N4" s="1134"/>
      <c r="O4" s="1134"/>
      <c r="P4" s="3171" t="s">
        <v>2652</v>
      </c>
      <c r="Q4" s="3172"/>
      <c r="R4" s="3154" t="s">
        <v>2648</v>
      </c>
      <c r="S4" s="3155"/>
      <c r="T4" s="3154" t="s">
        <v>2649</v>
      </c>
      <c r="U4" s="3155"/>
      <c r="V4" s="3179" t="s">
        <v>2650</v>
      </c>
      <c r="W4" s="3179"/>
      <c r="X4" s="1815"/>
      <c r="Y4" s="3154" t="s">
        <v>2652</v>
      </c>
      <c r="Z4" s="3155"/>
      <c r="AA4" s="3149" t="s">
        <v>2648</v>
      </c>
      <c r="AB4" s="3150" t="s">
        <v>2649</v>
      </c>
      <c r="AC4" s="3149" t="s">
        <v>2650</v>
      </c>
    </row>
    <row r="5" spans="1:29" ht="15">
      <c r="A5" s="404"/>
      <c r="B5" s="405"/>
      <c r="C5" s="3160" t="s">
        <v>2543</v>
      </c>
      <c r="D5" s="3161"/>
      <c r="E5" s="3158" t="s">
        <v>2544</v>
      </c>
      <c r="F5" s="3159"/>
      <c r="G5" s="3160" t="s">
        <v>2545</v>
      </c>
      <c r="H5" s="3161"/>
      <c r="I5" s="3160" t="s">
        <v>2546</v>
      </c>
      <c r="J5" s="3161"/>
      <c r="K5" s="610"/>
      <c r="L5" s="1133"/>
      <c r="M5" s="1134"/>
      <c r="N5" s="1134"/>
      <c r="O5" s="1134"/>
      <c r="P5" s="3173"/>
      <c r="Q5" s="3174"/>
      <c r="R5" s="3156"/>
      <c r="S5" s="3157"/>
      <c r="T5" s="3156"/>
      <c r="U5" s="3157"/>
      <c r="V5" s="3179"/>
      <c r="W5" s="3179"/>
      <c r="X5" s="1815"/>
      <c r="Y5" s="3156"/>
      <c r="Z5" s="3157"/>
      <c r="AA5" s="3150"/>
      <c r="AB5" s="3150"/>
      <c r="AC5" s="3150"/>
    </row>
    <row r="6" spans="1:29" ht="15.75" thickBot="1">
      <c r="A6" s="406"/>
      <c r="B6" s="407"/>
      <c r="C6" s="3162" t="s">
        <v>2547</v>
      </c>
      <c r="D6" s="3163"/>
      <c r="E6" s="3164" t="s">
        <v>2547</v>
      </c>
      <c r="F6" s="3165"/>
      <c r="G6" s="3162" t="s">
        <v>2547</v>
      </c>
      <c r="H6" s="3163"/>
      <c r="I6" s="3162" t="s">
        <v>2547</v>
      </c>
      <c r="J6" s="3163"/>
      <c r="K6" s="610" t="s">
        <v>2548</v>
      </c>
      <c r="L6" s="1133"/>
      <c r="M6" s="1134"/>
      <c r="N6" s="1134"/>
      <c r="O6" s="1134"/>
      <c r="P6" s="3175"/>
      <c r="Q6" s="3176"/>
      <c r="R6" s="3156"/>
      <c r="S6" s="3157"/>
      <c r="T6" s="3177"/>
      <c r="U6" s="3178"/>
      <c r="V6" s="3179"/>
      <c r="W6" s="3179"/>
      <c r="X6" s="1815"/>
      <c r="Y6" s="3177"/>
      <c r="Z6" s="3178"/>
      <c r="AA6" s="3151"/>
      <c r="AB6" s="3151"/>
      <c r="AC6" s="3151"/>
    </row>
    <row r="7" spans="1:29" s="117" customFormat="1" ht="15.75" thickBot="1">
      <c r="A7" s="408" t="s">
        <v>2549</v>
      </c>
      <c r="B7" s="409"/>
      <c r="C7" s="410">
        <f>'数据-取费表'!B2</f>
        <v>43416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2" t="s">
        <v>2550</v>
      </c>
      <c r="Q7" s="3180"/>
      <c r="R7" s="770" t="s">
        <v>17</v>
      </c>
      <c r="S7" s="771">
        <f t="shared" ref="S7:S14" si="0">F7</f>
        <v>0</v>
      </c>
      <c r="T7" s="770" t="s">
        <v>17</v>
      </c>
      <c r="U7" s="771">
        <f t="shared" ref="U7:U14" si="1">H7</f>
        <v>0</v>
      </c>
      <c r="V7" s="770" t="s">
        <v>17</v>
      </c>
      <c r="W7" s="771">
        <f t="shared" ref="W7:W14" si="2">J7</f>
        <v>0</v>
      </c>
      <c r="X7" s="772"/>
      <c r="Y7" s="3152" t="s">
        <v>2550</v>
      </c>
      <c r="Z7" s="3153"/>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2" t="s">
        <v>2553</v>
      </c>
      <c r="Q8" s="3153"/>
      <c r="R8" s="770" t="s">
        <v>17</v>
      </c>
      <c r="S8" s="771">
        <f t="shared" si="0"/>
        <v>0</v>
      </c>
      <c r="T8" s="770" t="s">
        <v>17</v>
      </c>
      <c r="U8" s="771">
        <f t="shared" si="1"/>
        <v>0</v>
      </c>
      <c r="V8" s="770" t="s">
        <v>17</v>
      </c>
      <c r="W8" s="771">
        <f t="shared" si="2"/>
        <v>0</v>
      </c>
      <c r="X8" s="772"/>
      <c r="Y8" s="3152" t="s">
        <v>2553</v>
      </c>
      <c r="Z8" s="3153"/>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6" t="s">
        <v>2556</v>
      </c>
      <c r="Q9" s="1797" t="str">
        <f t="shared" ref="Q9:Q14" si="6">B9</f>
        <v>用途</v>
      </c>
      <c r="R9" s="770" t="s">
        <v>17</v>
      </c>
      <c r="S9" s="771">
        <f t="shared" si="0"/>
        <v>100</v>
      </c>
      <c r="T9" s="770" t="s">
        <v>17</v>
      </c>
      <c r="U9" s="771">
        <f t="shared" si="1"/>
        <v>100</v>
      </c>
      <c r="V9" s="770" t="s">
        <v>17</v>
      </c>
      <c r="W9" s="771">
        <f t="shared" si="2"/>
        <v>100</v>
      </c>
      <c r="X9" s="772"/>
      <c r="Y9" s="3026"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6"/>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6"/>
      <c r="Q11" s="1797">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6"/>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6"/>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2560</v>
      </c>
      <c r="B14" s="629" t="s">
        <v>2710</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1" t="s">
        <v>2561</v>
      </c>
      <c r="Q14" s="1812" t="str">
        <f t="shared" si="6"/>
        <v>交通便捷度</v>
      </c>
      <c r="R14" s="774" t="s">
        <v>17</v>
      </c>
      <c r="S14" s="775">
        <f t="shared" si="0"/>
        <v>100</v>
      </c>
      <c r="T14" s="774" t="s">
        <v>17</v>
      </c>
      <c r="U14" s="775">
        <f t="shared" si="1"/>
        <v>100</v>
      </c>
      <c r="V14" s="774" t="s">
        <v>17</v>
      </c>
      <c r="W14" s="775">
        <f t="shared" si="2"/>
        <v>100</v>
      </c>
      <c r="X14" s="1815"/>
      <c r="Y14" s="3181" t="s">
        <v>2561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82"/>
      <c r="Q15" s="1812"/>
      <c r="R15" s="774"/>
      <c r="S15" s="775"/>
      <c r="T15" s="774"/>
      <c r="U15" s="775"/>
      <c r="V15" s="774"/>
      <c r="W15" s="775"/>
      <c r="X15" s="1815"/>
      <c r="Y15" s="3182"/>
      <c r="Z15" s="1816"/>
      <c r="AA15" s="1813">
        <v>1</v>
      </c>
      <c r="AB15" s="1813">
        <v>1</v>
      </c>
      <c r="AC15" s="1813">
        <v>1</v>
      </c>
    </row>
    <row r="16" spans="1:29" ht="42.75">
      <c r="A16" s="404"/>
      <c r="B16" s="631" t="s">
        <v>2689</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2"/>
      <c r="Q16" s="1812" t="str">
        <f>B16</f>
        <v>公共配套设施</v>
      </c>
      <c r="R16" s="774" t="s">
        <v>17</v>
      </c>
      <c r="S16" s="775">
        <f>F16</f>
        <v>100</v>
      </c>
      <c r="T16" s="774" t="s">
        <v>17</v>
      </c>
      <c r="U16" s="775">
        <f>H16</f>
        <v>100</v>
      </c>
      <c r="V16" s="774" t="s">
        <v>17</v>
      </c>
      <c r="W16" s="775">
        <f>J16</f>
        <v>100</v>
      </c>
      <c r="X16" s="1815"/>
      <c r="Y16" s="3182"/>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182"/>
      <c r="Q17" s="1812"/>
      <c r="R17" s="774"/>
      <c r="S17" s="775"/>
      <c r="T17" s="774"/>
      <c r="U17" s="775"/>
      <c r="V17" s="774"/>
      <c r="W17" s="775"/>
      <c r="X17" s="1815"/>
      <c r="Y17" s="3182"/>
      <c r="Z17" s="1816"/>
      <c r="AA17" s="1813">
        <v>1</v>
      </c>
      <c r="AB17" s="1813">
        <v>1</v>
      </c>
      <c r="AC17" s="1813">
        <v>1</v>
      </c>
    </row>
    <row r="18" spans="1:29" ht="28.5">
      <c r="A18" s="404"/>
      <c r="B18" s="633" t="s">
        <v>2690</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2"/>
      <c r="Q18" s="1812" t="str">
        <f>B18</f>
        <v>基础设施水平</v>
      </c>
      <c r="R18" s="774" t="s">
        <v>17</v>
      </c>
      <c r="S18" s="775">
        <f>F18</f>
        <v>100</v>
      </c>
      <c r="T18" s="774" t="s">
        <v>17</v>
      </c>
      <c r="U18" s="775">
        <f>H18</f>
        <v>100</v>
      </c>
      <c r="V18" s="774" t="s">
        <v>17</v>
      </c>
      <c r="W18" s="775">
        <f>J18</f>
        <v>100</v>
      </c>
      <c r="X18" s="1815"/>
      <c r="Y18" s="3182"/>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182"/>
      <c r="Q19" s="1812"/>
      <c r="R19" s="774"/>
      <c r="S19" s="775"/>
      <c r="T19" s="774"/>
      <c r="U19" s="775"/>
      <c r="V19" s="774"/>
      <c r="W19" s="775"/>
      <c r="X19" s="1815"/>
      <c r="Y19" s="3182"/>
      <c r="Z19" s="1816"/>
      <c r="AA19" s="1813">
        <v>1</v>
      </c>
      <c r="AB19" s="1813">
        <v>1</v>
      </c>
      <c r="AC19" s="1813">
        <v>1</v>
      </c>
    </row>
    <row r="20" spans="1:29" ht="57">
      <c r="A20" s="404"/>
      <c r="B20" s="631" t="s">
        <v>2711</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2"/>
      <c r="Q20" s="1812" t="str">
        <f>B20</f>
        <v>自然及人文环境</v>
      </c>
      <c r="R20" s="774" t="s">
        <v>17</v>
      </c>
      <c r="S20" s="775">
        <f>F20</f>
        <v>100</v>
      </c>
      <c r="T20" s="774" t="s">
        <v>17</v>
      </c>
      <c r="U20" s="775">
        <f>H20</f>
        <v>100</v>
      </c>
      <c r="V20" s="774" t="s">
        <v>17</v>
      </c>
      <c r="W20" s="775">
        <f>J20</f>
        <v>100</v>
      </c>
      <c r="X20" s="1815"/>
      <c r="Y20" s="3182"/>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82"/>
      <c r="Q21" s="1812"/>
      <c r="R21" s="774"/>
      <c r="S21" s="775"/>
      <c r="T21" s="774"/>
      <c r="U21" s="775"/>
      <c r="V21" s="774"/>
      <c r="W21" s="775"/>
      <c r="X21" s="1815"/>
      <c r="Y21" s="3182"/>
      <c r="Z21" s="1816"/>
      <c r="AA21" s="1813">
        <v>1</v>
      </c>
      <c r="AB21" s="1813">
        <v>1</v>
      </c>
      <c r="AC21" s="1813">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2"/>
      <c r="Q22" s="1812" t="str">
        <f>B22</f>
        <v>楼层</v>
      </c>
      <c r="R22" s="774" t="s">
        <v>17</v>
      </c>
      <c r="S22" s="775">
        <f>F22</f>
        <v>100</v>
      </c>
      <c r="T22" s="774" t="s">
        <v>17</v>
      </c>
      <c r="U22" s="775">
        <f>H22</f>
        <v>100</v>
      </c>
      <c r="V22" s="774" t="s">
        <v>17</v>
      </c>
      <c r="W22" s="775">
        <f>J22</f>
        <v>100</v>
      </c>
      <c r="X22" s="1815"/>
      <c r="Y22" s="3182"/>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2"/>
      <c r="Q23" s="1812">
        <f>B23</f>
        <v>111</v>
      </c>
      <c r="R23" s="774" t="s">
        <v>17</v>
      </c>
      <c r="S23" s="775">
        <f>F23</f>
        <v>100</v>
      </c>
      <c r="T23" s="774" t="s">
        <v>17</v>
      </c>
      <c r="U23" s="775">
        <f>H23</f>
        <v>100</v>
      </c>
      <c r="V23" s="774" t="s">
        <v>17</v>
      </c>
      <c r="W23" s="775">
        <f>J23</f>
        <v>100</v>
      </c>
      <c r="X23" s="1815"/>
      <c r="Y23" s="3182"/>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2"/>
      <c r="Q24" s="1812">
        <f t="shared" ref="Q24:Q36" si="11">B24</f>
        <v>111</v>
      </c>
      <c r="R24" s="774" t="s">
        <v>17</v>
      </c>
      <c r="S24" s="775">
        <f>F24</f>
        <v>100</v>
      </c>
      <c r="T24" s="774" t="s">
        <v>17</v>
      </c>
      <c r="U24" s="775">
        <f>H24</f>
        <v>100</v>
      </c>
      <c r="V24" s="774" t="s">
        <v>17</v>
      </c>
      <c r="W24" s="775">
        <f>J24</f>
        <v>100</v>
      </c>
      <c r="X24" s="1815"/>
      <c r="Y24" s="3182"/>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2"/>
      <c r="Q25" s="1797">
        <f t="shared" si="11"/>
        <v>111</v>
      </c>
      <c r="R25" s="770" t="s">
        <v>17</v>
      </c>
      <c r="S25" s="771">
        <f>F25</f>
        <v>100</v>
      </c>
      <c r="T25" s="770" t="s">
        <v>17</v>
      </c>
      <c r="U25" s="771">
        <f>H25</f>
        <v>100</v>
      </c>
      <c r="V25" s="770" t="s">
        <v>17</v>
      </c>
      <c r="W25" s="771">
        <f>J25</f>
        <v>100</v>
      </c>
      <c r="X25" s="772"/>
      <c r="Y25" s="3182"/>
      <c r="Z25" s="55">
        <f>Q25</f>
        <v>111</v>
      </c>
      <c r="AA25" s="1813">
        <f>D25/F25</f>
        <v>1</v>
      </c>
      <c r="AB25" s="1813">
        <f>D25/H25</f>
        <v>1</v>
      </c>
      <c r="AC25" s="1813">
        <f>D25/J25</f>
        <v>1</v>
      </c>
    </row>
    <row r="26" spans="1:29" ht="15">
      <c r="A26" s="652" t="s">
        <v>2564</v>
      </c>
      <c r="B26" s="70" t="s">
        <v>2713</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3" t="s">
        <v>2566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4" t="s">
        <v>2566</v>
      </c>
      <c r="Z26" s="1816" t="str">
        <f t="shared" ref="Z26:Z36" si="15">Q26</f>
        <v>配套类型</v>
      </c>
      <c r="AA26" s="1813">
        <f t="shared" si="3"/>
        <v>1</v>
      </c>
      <c r="AB26" s="1813">
        <f t="shared" si="4"/>
        <v>1</v>
      </c>
      <c r="AC26" s="1813">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4"/>
      <c r="Q27" s="776" t="str">
        <f t="shared" si="11"/>
        <v>项目停车位配比</v>
      </c>
      <c r="R27" s="777" t="s">
        <v>17</v>
      </c>
      <c r="S27" s="778">
        <f t="shared" si="12"/>
        <v>100</v>
      </c>
      <c r="T27" s="777" t="s">
        <v>17</v>
      </c>
      <c r="U27" s="778">
        <f t="shared" si="13"/>
        <v>100</v>
      </c>
      <c r="V27" s="777" t="s">
        <v>17</v>
      </c>
      <c r="W27" s="778">
        <f t="shared" si="14"/>
        <v>100</v>
      </c>
      <c r="X27" s="779"/>
      <c r="Y27" s="3184"/>
      <c r="Z27" s="780" t="str">
        <f t="shared" si="15"/>
        <v>项目停车位配比</v>
      </c>
      <c r="AA27" s="1813">
        <f t="shared" si="3"/>
        <v>1</v>
      </c>
      <c r="AB27" s="1813">
        <f t="shared" si="4"/>
        <v>1</v>
      </c>
      <c r="AC27" s="1813">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4"/>
      <c r="Q28" s="1812" t="str">
        <f t="shared" si="11"/>
        <v>公共部分装修</v>
      </c>
      <c r="R28" s="774" t="s">
        <v>17</v>
      </c>
      <c r="S28" s="775">
        <f t="shared" si="12"/>
        <v>100</v>
      </c>
      <c r="T28" s="774" t="s">
        <v>17</v>
      </c>
      <c r="U28" s="775">
        <f t="shared" si="13"/>
        <v>100</v>
      </c>
      <c r="V28" s="774" t="s">
        <v>17</v>
      </c>
      <c r="W28" s="775">
        <f t="shared" si="14"/>
        <v>100</v>
      </c>
      <c r="X28" s="1815"/>
      <c r="Y28" s="3184"/>
      <c r="Z28" s="1816" t="str">
        <f t="shared" si="15"/>
        <v>公共部分装修</v>
      </c>
      <c r="AA28" s="1813">
        <f t="shared" si="3"/>
        <v>1</v>
      </c>
      <c r="AB28" s="1813">
        <f t="shared" si="4"/>
        <v>1</v>
      </c>
      <c r="AC28" s="1813">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4"/>
      <c r="Q29" s="1812" t="str">
        <f t="shared" si="11"/>
        <v>成新率</v>
      </c>
      <c r="R29" s="774" t="s">
        <v>17</v>
      </c>
      <c r="S29" s="775" t="e">
        <f t="shared" si="12"/>
        <v>#N/A</v>
      </c>
      <c r="T29" s="774" t="s">
        <v>17</v>
      </c>
      <c r="U29" s="775" t="e">
        <f t="shared" si="13"/>
        <v>#N/A</v>
      </c>
      <c r="V29" s="774" t="s">
        <v>17</v>
      </c>
      <c r="W29" s="775" t="e">
        <f t="shared" si="14"/>
        <v>#N/A</v>
      </c>
      <c r="X29" s="1815"/>
      <c r="Y29" s="3184"/>
      <c r="Z29" s="1816" t="str">
        <f t="shared" si="15"/>
        <v>成新率</v>
      </c>
      <c r="AA29" s="1813" t="e">
        <f t="shared" si="3"/>
        <v>#N/A</v>
      </c>
      <c r="AB29" s="1813" t="e">
        <f t="shared" si="4"/>
        <v>#N/A</v>
      </c>
      <c r="AC29" s="1813"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4"/>
      <c r="Q30" s="1812" t="str">
        <f t="shared" si="11"/>
        <v>物业等级</v>
      </c>
      <c r="R30" s="774" t="s">
        <v>17</v>
      </c>
      <c r="S30" s="775">
        <f t="shared" si="12"/>
        <v>100</v>
      </c>
      <c r="T30" s="774" t="s">
        <v>17</v>
      </c>
      <c r="U30" s="775">
        <f t="shared" si="13"/>
        <v>100</v>
      </c>
      <c r="V30" s="774" t="s">
        <v>17</v>
      </c>
      <c r="W30" s="775">
        <f t="shared" si="14"/>
        <v>100</v>
      </c>
      <c r="X30" s="1815"/>
      <c r="Y30" s="3184"/>
      <c r="Z30" s="1816" t="str">
        <f t="shared" si="15"/>
        <v>物业等级</v>
      </c>
      <c r="AA30" s="1813">
        <f t="shared" si="3"/>
        <v>1</v>
      </c>
      <c r="AB30" s="1813">
        <f t="shared" si="4"/>
        <v>1</v>
      </c>
      <c r="AC30" s="1813">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4"/>
      <c r="Q31" s="1797" t="str">
        <f t="shared" si="11"/>
        <v>停车位面积</v>
      </c>
      <c r="R31" s="770" t="s">
        <v>17</v>
      </c>
      <c r="S31" s="771" t="e">
        <f t="shared" si="12"/>
        <v>#N/A</v>
      </c>
      <c r="T31" s="770" t="s">
        <v>17</v>
      </c>
      <c r="U31" s="771" t="e">
        <f t="shared" si="13"/>
        <v>#N/A</v>
      </c>
      <c r="V31" s="770" t="s">
        <v>17</v>
      </c>
      <c r="W31" s="771" t="e">
        <f t="shared" si="14"/>
        <v>#N/A</v>
      </c>
      <c r="X31" s="772"/>
      <c r="Y31" s="3184"/>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4" t="s">
        <v>2566</v>
      </c>
      <c r="Q32" s="1812" t="str">
        <f t="shared" si="11"/>
        <v>车位类型</v>
      </c>
      <c r="R32" s="774" t="s">
        <v>17</v>
      </c>
      <c r="S32" s="775">
        <f t="shared" si="12"/>
        <v>100</v>
      </c>
      <c r="T32" s="774" t="s">
        <v>17</v>
      </c>
      <c r="U32" s="775">
        <f t="shared" si="13"/>
        <v>100</v>
      </c>
      <c r="V32" s="774" t="s">
        <v>17</v>
      </c>
      <c r="W32" s="775">
        <f t="shared" si="14"/>
        <v>100</v>
      </c>
      <c r="X32" s="1815"/>
      <c r="Y32" s="3184" t="s">
        <v>2566</v>
      </c>
      <c r="Z32" s="1816" t="str">
        <f t="shared" si="15"/>
        <v>车位类型</v>
      </c>
      <c r="AA32" s="1813">
        <f t="shared" si="3"/>
        <v>1</v>
      </c>
      <c r="AB32" s="1813">
        <f t="shared" si="4"/>
        <v>1</v>
      </c>
      <c r="AC32" s="1813">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4"/>
      <c r="Q33" s="1812" t="str">
        <f t="shared" si="11"/>
        <v>是否直接入户</v>
      </c>
      <c r="R33" s="774" t="s">
        <v>17</v>
      </c>
      <c r="S33" s="775">
        <f t="shared" si="12"/>
        <v>100</v>
      </c>
      <c r="T33" s="774" t="s">
        <v>17</v>
      </c>
      <c r="U33" s="775">
        <f t="shared" si="13"/>
        <v>100</v>
      </c>
      <c r="V33" s="774" t="s">
        <v>17</v>
      </c>
      <c r="W33" s="775">
        <f t="shared" si="14"/>
        <v>100</v>
      </c>
      <c r="X33" s="1815"/>
      <c r="Y33" s="3184"/>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4"/>
      <c r="Q34" s="1812">
        <f t="shared" si="11"/>
        <v>111</v>
      </c>
      <c r="R34" s="774" t="s">
        <v>17</v>
      </c>
      <c r="S34" s="775">
        <f t="shared" si="12"/>
        <v>100</v>
      </c>
      <c r="T34" s="774" t="s">
        <v>17</v>
      </c>
      <c r="U34" s="775">
        <f t="shared" si="13"/>
        <v>100</v>
      </c>
      <c r="V34" s="774" t="s">
        <v>17</v>
      </c>
      <c r="W34" s="775">
        <f t="shared" si="14"/>
        <v>100</v>
      </c>
      <c r="X34" s="1815"/>
      <c r="Y34" s="3184"/>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4"/>
      <c r="Q35" s="776">
        <f t="shared" si="11"/>
        <v>111</v>
      </c>
      <c r="R35" s="777" t="s">
        <v>17</v>
      </c>
      <c r="S35" s="778">
        <f t="shared" si="12"/>
        <v>100</v>
      </c>
      <c r="T35" s="777" t="s">
        <v>17</v>
      </c>
      <c r="U35" s="778">
        <f t="shared" si="13"/>
        <v>100</v>
      </c>
      <c r="V35" s="777" t="s">
        <v>17</v>
      </c>
      <c r="W35" s="778">
        <f t="shared" si="14"/>
        <v>100</v>
      </c>
      <c r="X35" s="779"/>
      <c r="Y35" s="3184"/>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4"/>
      <c r="Q36" s="1812">
        <f t="shared" si="11"/>
        <v>111</v>
      </c>
      <c r="R36" s="774" t="s">
        <v>17</v>
      </c>
      <c r="S36" s="775">
        <f t="shared" si="12"/>
        <v>100</v>
      </c>
      <c r="T36" s="774" t="s">
        <v>17</v>
      </c>
      <c r="U36" s="775">
        <f t="shared" si="13"/>
        <v>100</v>
      </c>
      <c r="V36" s="774" t="s">
        <v>17</v>
      </c>
      <c r="W36" s="775">
        <f t="shared" si="14"/>
        <v>100</v>
      </c>
      <c r="X36" s="1815"/>
      <c r="Y36" s="3184"/>
      <c r="Z36" s="1816">
        <f t="shared" si="15"/>
        <v>111</v>
      </c>
      <c r="AA36" s="1813">
        <f t="shared" si="3"/>
        <v>1</v>
      </c>
      <c r="AB36" s="1813">
        <f t="shared" si="4"/>
        <v>1</v>
      </c>
      <c r="AC36" s="1813">
        <f t="shared" si="5"/>
        <v>1</v>
      </c>
    </row>
    <row r="37" spans="1:29" ht="15">
      <c r="A37" s="479" t="s">
        <v>2721</v>
      </c>
      <c r="B37" s="2701" t="s">
        <v>2722</v>
      </c>
      <c r="C37" s="1410" t="s">
        <v>1</v>
      </c>
      <c r="D37" s="1411"/>
      <c r="E37" s="1412"/>
      <c r="F37" s="1413"/>
      <c r="G37" s="1414"/>
      <c r="H37" s="1415"/>
      <c r="I37" s="1412"/>
      <c r="J37" s="1415"/>
      <c r="K37" s="619"/>
      <c r="L37" s="1146"/>
      <c r="M37" s="1147"/>
      <c r="N37" s="1134"/>
      <c r="O37" s="1147"/>
      <c r="P37" s="3166" t="str">
        <f>A37</f>
        <v>成交单价</v>
      </c>
      <c r="Q37" s="3166"/>
      <c r="R37" s="3220">
        <f>E37</f>
        <v>0</v>
      </c>
      <c r="S37" s="3220"/>
      <c r="T37" s="3220">
        <f>G37</f>
        <v>0</v>
      </c>
      <c r="U37" s="3220"/>
      <c r="V37" s="3220">
        <f>I37</f>
        <v>0</v>
      </c>
      <c r="W37" s="3220"/>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6" t="str">
        <f>A38</f>
        <v>比较价值（元/平方米）</v>
      </c>
      <c r="Q38" s="3166"/>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86" t="str">
        <f>A39</f>
        <v>估价对象XX用房的比较价值（楼面单价，元/平方米）</v>
      </c>
      <c r="Q39" s="3187"/>
      <c r="R39" s="3219" t="e">
        <f>IF(F1="售价",ROUND(AVERAGE(R38:V38),0),ROUND(AVERAGE(R38:V38),1))</f>
        <v>#DIV/0!</v>
      </c>
      <c r="S39" s="3219"/>
      <c r="T39" s="3219"/>
      <c r="U39" s="3219"/>
      <c r="V39" s="3219"/>
      <c r="W39" s="321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32"/>
      <c r="F1" s="259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1" t="e">
        <f ca="1">IF(C2="——",ROUND(C37*D3/10000,0),ROUND(C37*D3/10000,0)-D2)</f>
        <v>#DIV/0!</v>
      </c>
      <c r="C2" s="2592"/>
      <c r="D2" s="1127" t="e">
        <f ca="1">SUMIF(INDIRECT("'"&amp;F2&amp;"'"&amp;"!A:A"),"承租人权益价值",INDIRECT("'"&amp;F2&amp;"'"&amp;"!c:c"))</f>
        <v>#REF!</v>
      </c>
      <c r="E2" s="2593" t="s">
        <v>2332</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67" t="s">
        <v>2647</v>
      </c>
      <c r="D4" s="3168"/>
      <c r="E4" s="3169" t="s">
        <v>2648</v>
      </c>
      <c r="F4" s="3170"/>
      <c r="G4" s="3167" t="s">
        <v>2649</v>
      </c>
      <c r="H4" s="3168"/>
      <c r="I4" s="3167" t="s">
        <v>2650</v>
      </c>
      <c r="J4" s="3168"/>
      <c r="K4" s="610" t="s">
        <v>2651</v>
      </c>
      <c r="L4" s="1133"/>
      <c r="M4" s="1134"/>
      <c r="N4" s="1134"/>
      <c r="O4" s="1134"/>
      <c r="P4" s="3171" t="s">
        <v>2652</v>
      </c>
      <c r="Q4" s="3172"/>
      <c r="R4" s="3154" t="s">
        <v>2648</v>
      </c>
      <c r="S4" s="3155"/>
      <c r="T4" s="3154" t="s">
        <v>2649</v>
      </c>
      <c r="U4" s="3155"/>
      <c r="V4" s="3179" t="s">
        <v>2650</v>
      </c>
      <c r="W4" s="3179"/>
      <c r="X4" s="1815"/>
      <c r="Y4" s="3154" t="s">
        <v>2652</v>
      </c>
      <c r="Z4" s="3155"/>
      <c r="AA4" s="3149" t="s">
        <v>2648</v>
      </c>
      <c r="AB4" s="3150" t="s">
        <v>2649</v>
      </c>
      <c r="AC4" s="3149" t="s">
        <v>2650</v>
      </c>
    </row>
    <row r="5" spans="1:29" ht="15">
      <c r="A5" s="404"/>
      <c r="B5" s="405"/>
      <c r="C5" s="3160" t="s">
        <v>2543</v>
      </c>
      <c r="D5" s="3161"/>
      <c r="E5" s="3158" t="s">
        <v>2544</v>
      </c>
      <c r="F5" s="3159"/>
      <c r="G5" s="3160" t="s">
        <v>2545</v>
      </c>
      <c r="H5" s="3161"/>
      <c r="I5" s="3160" t="s">
        <v>2546</v>
      </c>
      <c r="J5" s="3161"/>
      <c r="K5" s="610"/>
      <c r="L5" s="1133"/>
      <c r="M5" s="1134"/>
      <c r="N5" s="1134"/>
      <c r="O5" s="1134"/>
      <c r="P5" s="3173"/>
      <c r="Q5" s="3174"/>
      <c r="R5" s="3156"/>
      <c r="S5" s="3157"/>
      <c r="T5" s="3156"/>
      <c r="U5" s="3157"/>
      <c r="V5" s="3179"/>
      <c r="W5" s="3179"/>
      <c r="X5" s="1815"/>
      <c r="Y5" s="3156"/>
      <c r="Z5" s="3157"/>
      <c r="AA5" s="3150"/>
      <c r="AB5" s="3150"/>
      <c r="AC5" s="3150"/>
    </row>
    <row r="6" spans="1:29" ht="15.75" thickBot="1">
      <c r="A6" s="406"/>
      <c r="B6" s="407"/>
      <c r="C6" s="3162" t="s">
        <v>2547</v>
      </c>
      <c r="D6" s="3163"/>
      <c r="E6" s="3164" t="s">
        <v>2547</v>
      </c>
      <c r="F6" s="3165"/>
      <c r="G6" s="3162" t="s">
        <v>2547</v>
      </c>
      <c r="H6" s="3163"/>
      <c r="I6" s="3162" t="s">
        <v>2547</v>
      </c>
      <c r="J6" s="3163"/>
      <c r="K6" s="610" t="s">
        <v>2548</v>
      </c>
      <c r="L6" s="1133"/>
      <c r="M6" s="1134"/>
      <c r="N6" s="1134"/>
      <c r="O6" s="1134"/>
      <c r="P6" s="3175"/>
      <c r="Q6" s="3176"/>
      <c r="R6" s="3156"/>
      <c r="S6" s="3157"/>
      <c r="T6" s="3177"/>
      <c r="U6" s="3178"/>
      <c r="V6" s="3179"/>
      <c r="W6" s="3179"/>
      <c r="X6" s="1815"/>
      <c r="Y6" s="3177"/>
      <c r="Z6" s="3178"/>
      <c r="AA6" s="3151"/>
      <c r="AB6" s="3151"/>
      <c r="AC6" s="3151"/>
    </row>
    <row r="7" spans="1:29" s="117" customFormat="1" ht="15.75" thickBot="1">
      <c r="A7" s="408" t="s">
        <v>2549</v>
      </c>
      <c r="B7" s="409"/>
      <c r="C7" s="410">
        <f>'数据-取费表'!B2</f>
        <v>43416</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52" t="s">
        <v>2550</v>
      </c>
      <c r="Q7" s="3180"/>
      <c r="R7" s="770" t="s">
        <v>17</v>
      </c>
      <c r="S7" s="771">
        <f t="shared" ref="S7:S14" si="0">F7</f>
        <v>0</v>
      </c>
      <c r="T7" s="770" t="s">
        <v>17</v>
      </c>
      <c r="U7" s="771">
        <f t="shared" ref="U7:U14" si="1">H7</f>
        <v>0</v>
      </c>
      <c r="V7" s="770" t="s">
        <v>17</v>
      </c>
      <c r="W7" s="771">
        <f t="shared" ref="W7:W14" si="2">J7</f>
        <v>0</v>
      </c>
      <c r="X7" s="772"/>
      <c r="Y7" s="3152" t="s">
        <v>2550</v>
      </c>
      <c r="Z7" s="3153"/>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2" t="s">
        <v>2553</v>
      </c>
      <c r="Q8" s="3153"/>
      <c r="R8" s="770" t="s">
        <v>17</v>
      </c>
      <c r="S8" s="771">
        <f t="shared" si="0"/>
        <v>0</v>
      </c>
      <c r="T8" s="770" t="s">
        <v>17</v>
      </c>
      <c r="U8" s="771">
        <f t="shared" si="1"/>
        <v>0</v>
      </c>
      <c r="V8" s="770" t="s">
        <v>17</v>
      </c>
      <c r="W8" s="771">
        <f t="shared" si="2"/>
        <v>0</v>
      </c>
      <c r="X8" s="772"/>
      <c r="Y8" s="3152" t="s">
        <v>2553</v>
      </c>
      <c r="Z8" s="3153"/>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6" t="s">
        <v>2556</v>
      </c>
      <c r="Q9" s="1797" t="str">
        <f t="shared" ref="Q9:Q14" si="6">B9</f>
        <v>用途</v>
      </c>
      <c r="R9" s="770" t="s">
        <v>17</v>
      </c>
      <c r="S9" s="771">
        <f t="shared" si="0"/>
        <v>100</v>
      </c>
      <c r="T9" s="770" t="s">
        <v>17</v>
      </c>
      <c r="U9" s="771">
        <f t="shared" si="1"/>
        <v>100</v>
      </c>
      <c r="V9" s="770" t="s">
        <v>17</v>
      </c>
      <c r="W9" s="771">
        <f t="shared" si="2"/>
        <v>100</v>
      </c>
      <c r="X9" s="772"/>
      <c r="Y9" s="3026"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6"/>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6"/>
      <c r="Q11" s="1797">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6"/>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66"/>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2560</v>
      </c>
      <c r="B14" s="69" t="s">
        <v>2710</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1" t="s">
        <v>2561</v>
      </c>
      <c r="Q14" s="1812" t="str">
        <f t="shared" si="6"/>
        <v>交通便捷度</v>
      </c>
      <c r="R14" s="774" t="s">
        <v>17</v>
      </c>
      <c r="S14" s="775">
        <f t="shared" si="0"/>
        <v>100</v>
      </c>
      <c r="T14" s="774" t="s">
        <v>17</v>
      </c>
      <c r="U14" s="775">
        <f t="shared" si="1"/>
        <v>100</v>
      </c>
      <c r="V14" s="774" t="s">
        <v>17</v>
      </c>
      <c r="W14" s="775">
        <f t="shared" si="2"/>
        <v>100</v>
      </c>
      <c r="X14" s="1815"/>
      <c r="Y14" s="3181" t="s">
        <v>2561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2"/>
      <c r="Q15" s="1812"/>
      <c r="R15" s="774"/>
      <c r="S15" s="775"/>
      <c r="T15" s="774"/>
      <c r="U15" s="775"/>
      <c r="V15" s="774"/>
      <c r="W15" s="775"/>
      <c r="X15" s="1815"/>
      <c r="Y15" s="3182"/>
      <c r="Z15" s="1816"/>
      <c r="AA15" s="1813">
        <v>1</v>
      </c>
      <c r="AB15" s="1813">
        <v>1</v>
      </c>
      <c r="AC15" s="1813">
        <v>1</v>
      </c>
    </row>
    <row r="16" spans="1:29" ht="42.75">
      <c r="A16" s="428"/>
      <c r="B16" s="451" t="s">
        <v>2689</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2"/>
      <c r="Q16" s="1812" t="str">
        <f>B16</f>
        <v>公共配套设施</v>
      </c>
      <c r="R16" s="774" t="s">
        <v>17</v>
      </c>
      <c r="S16" s="775">
        <f>F16</f>
        <v>100</v>
      </c>
      <c r="T16" s="774" t="s">
        <v>17</v>
      </c>
      <c r="U16" s="775">
        <f>H16</f>
        <v>100</v>
      </c>
      <c r="V16" s="774" t="s">
        <v>17</v>
      </c>
      <c r="W16" s="775">
        <f>J16</f>
        <v>100</v>
      </c>
      <c r="X16" s="1815"/>
      <c r="Y16" s="3182"/>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182"/>
      <c r="Q17" s="1812"/>
      <c r="R17" s="774"/>
      <c r="S17" s="775"/>
      <c r="T17" s="774"/>
      <c r="U17" s="775"/>
      <c r="V17" s="774"/>
      <c r="W17" s="775"/>
      <c r="X17" s="1815"/>
      <c r="Y17" s="3182"/>
      <c r="Z17" s="1816"/>
      <c r="AA17" s="1813">
        <v>1</v>
      </c>
      <c r="AB17" s="1813">
        <v>1</v>
      </c>
      <c r="AC17" s="1813">
        <v>1</v>
      </c>
    </row>
    <row r="18" spans="1:29" ht="28.5">
      <c r="A18" s="428"/>
      <c r="B18" s="1387" t="s">
        <v>2690</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2"/>
      <c r="Q18" s="1812" t="str">
        <f>B18</f>
        <v>基础设施水平</v>
      </c>
      <c r="R18" s="774" t="s">
        <v>17</v>
      </c>
      <c r="S18" s="775">
        <f>F18</f>
        <v>100</v>
      </c>
      <c r="T18" s="774" t="s">
        <v>17</v>
      </c>
      <c r="U18" s="775">
        <f>H18</f>
        <v>100</v>
      </c>
      <c r="V18" s="774" t="s">
        <v>17</v>
      </c>
      <c r="W18" s="775">
        <f>J18</f>
        <v>100</v>
      </c>
      <c r="X18" s="1815"/>
      <c r="Y18" s="3182"/>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182"/>
      <c r="Q19" s="1812"/>
      <c r="R19" s="774"/>
      <c r="S19" s="775"/>
      <c r="T19" s="774"/>
      <c r="U19" s="775"/>
      <c r="V19" s="774"/>
      <c r="W19" s="775"/>
      <c r="X19" s="1815"/>
      <c r="Y19" s="3182"/>
      <c r="Z19" s="1816"/>
      <c r="AA19" s="1813">
        <v>1</v>
      </c>
      <c r="AB19" s="1813">
        <v>1</v>
      </c>
      <c r="AC19" s="1813">
        <v>1</v>
      </c>
    </row>
    <row r="20" spans="1:29" ht="57">
      <c r="A20" s="428"/>
      <c r="B20" s="451" t="s">
        <v>2711</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2"/>
      <c r="Q20" s="1812" t="str">
        <f>B20</f>
        <v>自然及人文环境</v>
      </c>
      <c r="R20" s="774" t="s">
        <v>17</v>
      </c>
      <c r="S20" s="775">
        <f>F20</f>
        <v>100</v>
      </c>
      <c r="T20" s="774" t="s">
        <v>17</v>
      </c>
      <c r="U20" s="775">
        <f>H20</f>
        <v>100</v>
      </c>
      <c r="V20" s="774" t="s">
        <v>17</v>
      </c>
      <c r="W20" s="775">
        <f>J20</f>
        <v>100</v>
      </c>
      <c r="X20" s="1815"/>
      <c r="Y20" s="318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2"/>
      <c r="Q21" s="1812"/>
      <c r="R21" s="774"/>
      <c r="S21" s="775"/>
      <c r="T21" s="774"/>
      <c r="U21" s="775"/>
      <c r="V21" s="774"/>
      <c r="W21" s="775"/>
      <c r="X21" s="1815"/>
      <c r="Y21" s="3182"/>
      <c r="Z21" s="1816"/>
      <c r="AA21" s="1813">
        <v>1</v>
      </c>
      <c r="AB21" s="1813">
        <v>1</v>
      </c>
      <c r="AC21" s="1813">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2"/>
      <c r="Q22" s="1812" t="str">
        <f>B22</f>
        <v>楼层</v>
      </c>
      <c r="R22" s="774" t="s">
        <v>17</v>
      </c>
      <c r="S22" s="775">
        <f>F22</f>
        <v>100</v>
      </c>
      <c r="T22" s="774" t="s">
        <v>17</v>
      </c>
      <c r="U22" s="775">
        <f>H22</f>
        <v>100</v>
      </c>
      <c r="V22" s="774" t="s">
        <v>17</v>
      </c>
      <c r="W22" s="775">
        <f>J22</f>
        <v>100</v>
      </c>
      <c r="X22" s="1815"/>
      <c r="Y22" s="3182"/>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2"/>
      <c r="Q23" s="1812">
        <f>B23</f>
        <v>111</v>
      </c>
      <c r="R23" s="774" t="s">
        <v>17</v>
      </c>
      <c r="S23" s="775">
        <f>F23</f>
        <v>100</v>
      </c>
      <c r="T23" s="774" t="s">
        <v>17</v>
      </c>
      <c r="U23" s="775">
        <f>H23</f>
        <v>100</v>
      </c>
      <c r="V23" s="774" t="s">
        <v>17</v>
      </c>
      <c r="W23" s="775">
        <f>J23</f>
        <v>100</v>
      </c>
      <c r="X23" s="1815"/>
      <c r="Y23" s="3182"/>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2"/>
      <c r="Q24" s="1812">
        <f t="shared" ref="Q24:Q34" si="11">B24</f>
        <v>111</v>
      </c>
      <c r="R24" s="774" t="s">
        <v>17</v>
      </c>
      <c r="S24" s="775">
        <f>F24</f>
        <v>100</v>
      </c>
      <c r="T24" s="774" t="s">
        <v>17</v>
      </c>
      <c r="U24" s="775">
        <f>H24</f>
        <v>100</v>
      </c>
      <c r="V24" s="774" t="s">
        <v>17</v>
      </c>
      <c r="W24" s="775">
        <f>J24</f>
        <v>100</v>
      </c>
      <c r="X24" s="1815"/>
      <c r="Y24" s="3182"/>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82"/>
      <c r="Q25" s="1797">
        <f t="shared" si="11"/>
        <v>111</v>
      </c>
      <c r="R25" s="770" t="s">
        <v>17</v>
      </c>
      <c r="S25" s="771">
        <f>F25</f>
        <v>100</v>
      </c>
      <c r="T25" s="770" t="s">
        <v>17</v>
      </c>
      <c r="U25" s="771">
        <f>H25</f>
        <v>100</v>
      </c>
      <c r="V25" s="770" t="s">
        <v>17</v>
      </c>
      <c r="W25" s="771">
        <f>J25</f>
        <v>100</v>
      </c>
      <c r="X25" s="772"/>
      <c r="Y25" s="3182"/>
      <c r="Z25" s="55">
        <f>Q25</f>
        <v>111</v>
      </c>
      <c r="AA25" s="1813">
        <f>D25/F25</f>
        <v>1</v>
      </c>
      <c r="AB25" s="1813">
        <f>D25/H25</f>
        <v>1</v>
      </c>
      <c r="AC25" s="1813">
        <f>D25/J25</f>
        <v>1</v>
      </c>
    </row>
    <row r="26" spans="1:29" ht="15">
      <c r="A26" s="466" t="s">
        <v>2564</v>
      </c>
      <c r="B26" s="71" t="s">
        <v>2715</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83" t="s">
        <v>2566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4" t="s">
        <v>2566</v>
      </c>
      <c r="Z26" s="1816" t="str">
        <f t="shared" ref="Z26:Z34" si="15">Q26</f>
        <v>公共部分装修</v>
      </c>
      <c r="AA26" s="1813">
        <f t="shared" si="3"/>
        <v>1</v>
      </c>
      <c r="AB26" s="1813">
        <f t="shared" si="4"/>
        <v>1</v>
      </c>
      <c r="AC26" s="1813">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4"/>
      <c r="Q27" s="776" t="str">
        <f t="shared" si="11"/>
        <v>成新率</v>
      </c>
      <c r="R27" s="777" t="s">
        <v>17</v>
      </c>
      <c r="S27" s="778" t="e">
        <f t="shared" si="12"/>
        <v>#N/A</v>
      </c>
      <c r="T27" s="777" t="s">
        <v>17</v>
      </c>
      <c r="U27" s="778" t="e">
        <f t="shared" si="13"/>
        <v>#N/A</v>
      </c>
      <c r="V27" s="777" t="s">
        <v>17</v>
      </c>
      <c r="W27" s="778" t="e">
        <f t="shared" si="14"/>
        <v>#N/A</v>
      </c>
      <c r="X27" s="779"/>
      <c r="Y27" s="3184"/>
      <c r="Z27" s="780" t="str">
        <f t="shared" si="15"/>
        <v>成新率</v>
      </c>
      <c r="AA27" s="1813" t="e">
        <f t="shared" si="3"/>
        <v>#N/A</v>
      </c>
      <c r="AB27" s="1813" t="e">
        <f t="shared" si="4"/>
        <v>#N/A</v>
      </c>
      <c r="AC27" s="1813"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4"/>
      <c r="Q28" s="1812" t="str">
        <f t="shared" si="11"/>
        <v>物业等级</v>
      </c>
      <c r="R28" s="774" t="s">
        <v>17</v>
      </c>
      <c r="S28" s="775">
        <f t="shared" si="12"/>
        <v>100</v>
      </c>
      <c r="T28" s="774" t="s">
        <v>17</v>
      </c>
      <c r="U28" s="775">
        <f t="shared" si="13"/>
        <v>100</v>
      </c>
      <c r="V28" s="774" t="s">
        <v>17</v>
      </c>
      <c r="W28" s="775">
        <f t="shared" si="14"/>
        <v>100</v>
      </c>
      <c r="X28" s="1815"/>
      <c r="Y28" s="3184"/>
      <c r="Z28" s="1816" t="str">
        <f t="shared" si="15"/>
        <v>物业等级</v>
      </c>
      <c r="AA28" s="1813">
        <f t="shared" si="3"/>
        <v>1</v>
      </c>
      <c r="AB28" s="1813">
        <f t="shared" si="4"/>
        <v>1</v>
      </c>
      <c r="AC28" s="1813">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4"/>
      <c r="Q29" s="1812" t="str">
        <f t="shared" si="11"/>
        <v>有无电梯</v>
      </c>
      <c r="R29" s="774" t="s">
        <v>17</v>
      </c>
      <c r="S29" s="775">
        <f t="shared" si="12"/>
        <v>100</v>
      </c>
      <c r="T29" s="774" t="s">
        <v>17</v>
      </c>
      <c r="U29" s="775">
        <f t="shared" si="13"/>
        <v>100</v>
      </c>
      <c r="V29" s="774" t="s">
        <v>17</v>
      </c>
      <c r="W29" s="775">
        <f t="shared" si="14"/>
        <v>100</v>
      </c>
      <c r="X29" s="1815"/>
      <c r="Y29" s="3184"/>
      <c r="Z29" s="1816" t="str">
        <f t="shared" si="15"/>
        <v>有无电梯</v>
      </c>
      <c r="AA29" s="1813">
        <f t="shared" si="3"/>
        <v>1</v>
      </c>
      <c r="AB29" s="1813">
        <f t="shared" si="4"/>
        <v>1</v>
      </c>
      <c r="AC29" s="1813">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4"/>
      <c r="Q30" s="1812" t="str">
        <f t="shared" si="11"/>
        <v>建筑面积</v>
      </c>
      <c r="R30" s="774" t="s">
        <v>17</v>
      </c>
      <c r="S30" s="775" t="e">
        <f t="shared" si="12"/>
        <v>#N/A</v>
      </c>
      <c r="T30" s="774" t="s">
        <v>17</v>
      </c>
      <c r="U30" s="775" t="e">
        <f t="shared" si="13"/>
        <v>#N/A</v>
      </c>
      <c r="V30" s="774" t="s">
        <v>17</v>
      </c>
      <c r="W30" s="775" t="e">
        <f t="shared" si="14"/>
        <v>#N/A</v>
      </c>
      <c r="X30" s="1815"/>
      <c r="Y30" s="3184"/>
      <c r="Z30" s="1816" t="str">
        <f t="shared" si="15"/>
        <v>建筑面积</v>
      </c>
      <c r="AA30" s="1813" t="e">
        <f t="shared" si="3"/>
        <v>#N/A</v>
      </c>
      <c r="AB30" s="1813" t="e">
        <f t="shared" si="4"/>
        <v>#N/A</v>
      </c>
      <c r="AC30" s="1813"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4"/>
      <c r="Q31" s="1797" t="str">
        <f t="shared" si="11"/>
        <v>是否封闭</v>
      </c>
      <c r="R31" s="770" t="s">
        <v>17</v>
      </c>
      <c r="S31" s="771">
        <f t="shared" si="12"/>
        <v>100</v>
      </c>
      <c r="T31" s="770" t="s">
        <v>17</v>
      </c>
      <c r="U31" s="771">
        <f t="shared" si="13"/>
        <v>100</v>
      </c>
      <c r="V31" s="770" t="s">
        <v>17</v>
      </c>
      <c r="W31" s="771">
        <f t="shared" si="14"/>
        <v>100</v>
      </c>
      <c r="X31" s="772"/>
      <c r="Y31" s="3184"/>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4" t="s">
        <v>2566</v>
      </c>
      <c r="Q32" s="1812">
        <f t="shared" si="11"/>
        <v>111</v>
      </c>
      <c r="R32" s="774" t="s">
        <v>17</v>
      </c>
      <c r="S32" s="775">
        <f t="shared" si="12"/>
        <v>100</v>
      </c>
      <c r="T32" s="774" t="s">
        <v>17</v>
      </c>
      <c r="U32" s="775">
        <f t="shared" si="13"/>
        <v>100</v>
      </c>
      <c r="V32" s="774" t="s">
        <v>17</v>
      </c>
      <c r="W32" s="775">
        <f t="shared" si="14"/>
        <v>100</v>
      </c>
      <c r="X32" s="1815"/>
      <c r="Y32" s="3184" t="s">
        <v>2566</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4"/>
      <c r="Q33" s="1812">
        <f t="shared" si="11"/>
        <v>111</v>
      </c>
      <c r="R33" s="774" t="s">
        <v>17</v>
      </c>
      <c r="S33" s="775">
        <f t="shared" si="12"/>
        <v>100</v>
      </c>
      <c r="T33" s="774" t="s">
        <v>17</v>
      </c>
      <c r="U33" s="775">
        <f t="shared" si="13"/>
        <v>100</v>
      </c>
      <c r="V33" s="774" t="s">
        <v>17</v>
      </c>
      <c r="W33" s="775">
        <f t="shared" si="14"/>
        <v>100</v>
      </c>
      <c r="X33" s="1815"/>
      <c r="Y33" s="3184"/>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84"/>
      <c r="Q34" s="1812">
        <f t="shared" si="11"/>
        <v>111</v>
      </c>
      <c r="R34" s="774" t="s">
        <v>17</v>
      </c>
      <c r="S34" s="775">
        <f t="shared" si="12"/>
        <v>100</v>
      </c>
      <c r="T34" s="774" t="s">
        <v>17</v>
      </c>
      <c r="U34" s="775">
        <f t="shared" si="13"/>
        <v>100</v>
      </c>
      <c r="V34" s="774" t="s">
        <v>17</v>
      </c>
      <c r="W34" s="775">
        <f t="shared" si="14"/>
        <v>100</v>
      </c>
      <c r="X34" s="1815"/>
      <c r="Y34" s="3184"/>
      <c r="Z34" s="1816">
        <f t="shared" si="15"/>
        <v>111</v>
      </c>
      <c r="AA34" s="1813">
        <f t="shared" si="3"/>
        <v>1</v>
      </c>
      <c r="AB34" s="1813">
        <f t="shared" si="4"/>
        <v>1</v>
      </c>
      <c r="AC34" s="1813">
        <f t="shared" si="5"/>
        <v>1</v>
      </c>
    </row>
    <row r="35" spans="1:29" ht="15">
      <c r="A35" s="479" t="s">
        <v>2578</v>
      </c>
      <c r="B35" s="480"/>
      <c r="C35" s="1410" t="s">
        <v>1</v>
      </c>
      <c r="D35" s="1411"/>
      <c r="E35" s="1412"/>
      <c r="F35" s="1413"/>
      <c r="G35" s="1414"/>
      <c r="H35" s="1415"/>
      <c r="I35" s="1412"/>
      <c r="J35" s="1415"/>
      <c r="K35" s="783"/>
      <c r="L35" s="1146"/>
      <c r="M35" s="1147"/>
      <c r="N35" s="1134"/>
      <c r="O35" s="1147"/>
      <c r="P35" s="3166" t="str">
        <f>A35</f>
        <v>成交单价（元/平方米）</v>
      </c>
      <c r="Q35" s="3166"/>
      <c r="R35" s="3220">
        <f>E35</f>
        <v>0</v>
      </c>
      <c r="S35" s="3220"/>
      <c r="T35" s="3220">
        <f>G35</f>
        <v>0</v>
      </c>
      <c r="U35" s="3220"/>
      <c r="V35" s="3220">
        <f>I35</f>
        <v>0</v>
      </c>
      <c r="W35" s="3220"/>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66" t="str">
        <f>A36</f>
        <v>比较价值（元/平方米）</v>
      </c>
      <c r="Q36" s="3166"/>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86" t="str">
        <f>A37</f>
        <v>估价对象XX用房的比较价值（楼面单价，元/平方米）</v>
      </c>
      <c r="Q37" s="3187"/>
      <c r="R37" s="3219" t="e">
        <f>IF(F1="售价",ROUND(AVERAGE(R36:V36),0),ROUND(AVERAGE(R36:V36),1))</f>
        <v>#DIV/0!</v>
      </c>
      <c r="S37" s="3219"/>
      <c r="T37" s="3219"/>
      <c r="U37" s="3219"/>
      <c r="V37" s="3219"/>
      <c r="W37" s="321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67" t="s">
        <v>2647</v>
      </c>
      <c r="D4" s="3168"/>
      <c r="E4" s="3169" t="s">
        <v>2648</v>
      </c>
      <c r="F4" s="3170"/>
      <c r="G4" s="3167" t="s">
        <v>2649</v>
      </c>
      <c r="H4" s="3168"/>
      <c r="I4" s="3167" t="s">
        <v>2650</v>
      </c>
      <c r="J4" s="3168"/>
      <c r="K4" s="610" t="s">
        <v>2651</v>
      </c>
      <c r="L4" s="1133"/>
      <c r="M4" s="1134"/>
      <c r="N4" s="1134"/>
      <c r="O4" s="1134"/>
      <c r="P4" s="3171" t="s">
        <v>2652</v>
      </c>
      <c r="Q4" s="3172"/>
      <c r="R4" s="3154" t="s">
        <v>2648</v>
      </c>
      <c r="S4" s="3155"/>
      <c r="T4" s="3154" t="s">
        <v>2649</v>
      </c>
      <c r="U4" s="3155"/>
      <c r="V4" s="3179" t="s">
        <v>2650</v>
      </c>
      <c r="W4" s="3179"/>
      <c r="X4" s="1815"/>
      <c r="Y4" s="3154" t="s">
        <v>2652</v>
      </c>
      <c r="Z4" s="3155"/>
      <c r="AA4" s="3149" t="s">
        <v>2648</v>
      </c>
      <c r="AB4" s="3150" t="s">
        <v>2649</v>
      </c>
      <c r="AC4" s="3149" t="s">
        <v>2650</v>
      </c>
    </row>
    <row r="5" spans="1:29" ht="15">
      <c r="A5" s="404"/>
      <c r="B5" s="405"/>
      <c r="C5" s="3160" t="s">
        <v>2543</v>
      </c>
      <c r="D5" s="3161"/>
      <c r="E5" s="3158" t="s">
        <v>2544</v>
      </c>
      <c r="F5" s="3159"/>
      <c r="G5" s="3160" t="s">
        <v>2545</v>
      </c>
      <c r="H5" s="3161"/>
      <c r="I5" s="3160" t="s">
        <v>2546</v>
      </c>
      <c r="J5" s="3161"/>
      <c r="K5" s="610"/>
      <c r="L5" s="1133"/>
      <c r="M5" s="1134"/>
      <c r="N5" s="1134"/>
      <c r="O5" s="1134"/>
      <c r="P5" s="3173"/>
      <c r="Q5" s="3174"/>
      <c r="R5" s="3156"/>
      <c r="S5" s="3157"/>
      <c r="T5" s="3156"/>
      <c r="U5" s="3157"/>
      <c r="V5" s="3179"/>
      <c r="W5" s="3179"/>
      <c r="X5" s="1815"/>
      <c r="Y5" s="3156"/>
      <c r="Z5" s="3157"/>
      <c r="AA5" s="3150"/>
      <c r="AB5" s="3150"/>
      <c r="AC5" s="3150"/>
    </row>
    <row r="6" spans="1:29" ht="15.75" thickBot="1">
      <c r="A6" s="406"/>
      <c r="B6" s="407"/>
      <c r="C6" s="3242" t="s">
        <v>2797</v>
      </c>
      <c r="D6" s="3243"/>
      <c r="E6" s="3244" t="s">
        <v>2797</v>
      </c>
      <c r="F6" s="3245"/>
      <c r="G6" s="3242" t="s">
        <v>2797</v>
      </c>
      <c r="H6" s="3243"/>
      <c r="I6" s="3242" t="s">
        <v>2797</v>
      </c>
      <c r="J6" s="3243"/>
      <c r="K6" s="610" t="s">
        <v>2548</v>
      </c>
      <c r="L6" s="1133"/>
      <c r="M6" s="1134"/>
      <c r="N6" s="1134"/>
      <c r="O6" s="1134"/>
      <c r="P6" s="3175"/>
      <c r="Q6" s="3176"/>
      <c r="R6" s="3156"/>
      <c r="S6" s="3157"/>
      <c r="T6" s="3177"/>
      <c r="U6" s="3178"/>
      <c r="V6" s="3179"/>
      <c r="W6" s="3179"/>
      <c r="X6" s="1815"/>
      <c r="Y6" s="3177"/>
      <c r="Z6" s="3178"/>
      <c r="AA6" s="3151"/>
      <c r="AB6" s="3151"/>
      <c r="AC6" s="3151"/>
    </row>
    <row r="7" spans="1:29" s="117" customFormat="1" ht="15.75" thickBot="1">
      <c r="A7" s="408" t="s">
        <v>2549</v>
      </c>
      <c r="B7" s="409"/>
      <c r="C7" s="410">
        <f>'数据-取费表'!B2</f>
        <v>43416</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52" t="s">
        <v>2550</v>
      </c>
      <c r="Q7" s="3180"/>
      <c r="R7" s="770" t="s">
        <v>17</v>
      </c>
      <c r="S7" s="771">
        <f t="shared" ref="S7:S15" si="0">F7</f>
        <v>0</v>
      </c>
      <c r="T7" s="770" t="s">
        <v>17</v>
      </c>
      <c r="U7" s="771">
        <f t="shared" ref="U7:U15" si="1">H7</f>
        <v>0</v>
      </c>
      <c r="V7" s="770" t="s">
        <v>17</v>
      </c>
      <c r="W7" s="771">
        <f t="shared" ref="W7:W15" si="2">J7</f>
        <v>0</v>
      </c>
      <c r="X7" s="772"/>
      <c r="Y7" s="3152" t="s">
        <v>2550</v>
      </c>
      <c r="Z7" s="3153"/>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2" t="s">
        <v>2553</v>
      </c>
      <c r="Q8" s="3153"/>
      <c r="R8" s="770" t="s">
        <v>17</v>
      </c>
      <c r="S8" s="771">
        <f t="shared" si="0"/>
        <v>0</v>
      </c>
      <c r="T8" s="770" t="s">
        <v>17</v>
      </c>
      <c r="U8" s="771">
        <f t="shared" si="1"/>
        <v>0</v>
      </c>
      <c r="V8" s="770" t="s">
        <v>17</v>
      </c>
      <c r="W8" s="771">
        <f t="shared" si="2"/>
        <v>0</v>
      </c>
      <c r="X8" s="772"/>
      <c r="Y8" s="3152" t="s">
        <v>2553</v>
      </c>
      <c r="Z8" s="3153"/>
      <c r="AA8" s="773" t="e">
        <f t="shared" ref="AA8:AA40" si="3">D8/F8</f>
        <v>#DIV/0!</v>
      </c>
      <c r="AB8" s="773" t="e">
        <f t="shared" ref="AB8:AB40" si="4">D8/H8</f>
        <v>#DIV/0!</v>
      </c>
      <c r="AC8" s="773" t="e">
        <f t="shared" ref="AC8:AC40" si="5">D8/J8</f>
        <v>#DIV/0!</v>
      </c>
    </row>
    <row r="9" spans="1:29" s="117" customFormat="1">
      <c r="A9" s="415" t="s">
        <v>2554</v>
      </c>
      <c r="B9" s="71" t="s">
        <v>2555</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66" t="s">
        <v>2556</v>
      </c>
      <c r="Q9" s="1797"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102</v>
      </c>
      <c r="G10" s="432"/>
      <c r="H10" s="136">
        <f>ROUND(100/'数据-取费表'!G16,0)</f>
        <v>102</v>
      </c>
      <c r="I10" s="432"/>
      <c r="J10" s="136">
        <f>ROUND(100/'数据-取费表'!G16,0)</f>
        <v>102</v>
      </c>
      <c r="K10" s="672"/>
      <c r="L10" s="1138"/>
      <c r="M10" s="1139"/>
      <c r="N10" s="1139"/>
      <c r="O10" s="1140"/>
      <c r="P10" s="3166"/>
      <c r="Q10" s="1797" t="str">
        <f t="shared" si="6"/>
        <v>土地使用年限（年）</v>
      </c>
      <c r="R10" s="770" t="s">
        <v>17</v>
      </c>
      <c r="S10" s="771">
        <f t="shared" si="0"/>
        <v>102</v>
      </c>
      <c r="T10" s="770" t="s">
        <v>17</v>
      </c>
      <c r="U10" s="771">
        <f t="shared" si="1"/>
        <v>102</v>
      </c>
      <c r="V10" s="770" t="s">
        <v>17</v>
      </c>
      <c r="W10" s="771">
        <f t="shared" si="2"/>
        <v>102</v>
      </c>
      <c r="X10" s="772"/>
      <c r="Y10" s="3026"/>
      <c r="Z10" s="55" t="str">
        <f t="shared" si="7"/>
        <v>土地使用年限（年）</v>
      </c>
      <c r="AA10" s="773">
        <f t="shared" si="3"/>
        <v>0.98039215686274506</v>
      </c>
      <c r="AB10" s="773">
        <f t="shared" si="4"/>
        <v>0.98039215686274506</v>
      </c>
      <c r="AC10" s="773">
        <f t="shared" si="5"/>
        <v>0.98039215686274506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6"/>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6"/>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6"/>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6"/>
      <c r="Q14" s="1797">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2560</v>
      </c>
      <c r="B15" s="629" t="s">
        <v>2798</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1" t="s">
        <v>2561</v>
      </c>
      <c r="Q15" s="1812" t="str">
        <f t="shared" si="6"/>
        <v>产业集聚程度</v>
      </c>
      <c r="R15" s="774" t="s">
        <v>17</v>
      </c>
      <c r="S15" s="775">
        <f t="shared" si="0"/>
        <v>100</v>
      </c>
      <c r="T15" s="774" t="s">
        <v>17</v>
      </c>
      <c r="U15" s="775">
        <f t="shared" si="1"/>
        <v>100</v>
      </c>
      <c r="V15" s="774" t="s">
        <v>17</v>
      </c>
      <c r="W15" s="775">
        <f t="shared" si="2"/>
        <v>100</v>
      </c>
      <c r="X15" s="1815"/>
      <c r="Y15" s="3181" t="s">
        <v>2561</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182"/>
      <c r="Q16" s="1812"/>
      <c r="R16" s="774"/>
      <c r="S16" s="775"/>
      <c r="T16" s="774"/>
      <c r="U16" s="775"/>
      <c r="V16" s="774"/>
      <c r="W16" s="775"/>
      <c r="X16" s="1815"/>
      <c r="Y16" s="3182"/>
      <c r="Z16" s="1816"/>
      <c r="AA16" s="1813">
        <v>1</v>
      </c>
      <c r="AB16" s="1813">
        <v>1</v>
      </c>
      <c r="AC16" s="1813">
        <v>1</v>
      </c>
    </row>
    <row r="17" spans="1:29" ht="85.5">
      <c r="A17" s="428"/>
      <c r="B17" s="631" t="s">
        <v>2710</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2"/>
      <c r="Q17" s="1812" t="str">
        <f>B17</f>
        <v>交通便捷度</v>
      </c>
      <c r="R17" s="774" t="s">
        <v>17</v>
      </c>
      <c r="S17" s="775">
        <f>F17</f>
        <v>100</v>
      </c>
      <c r="T17" s="774" t="s">
        <v>17</v>
      </c>
      <c r="U17" s="775">
        <f>H17</f>
        <v>100</v>
      </c>
      <c r="V17" s="774" t="s">
        <v>17</v>
      </c>
      <c r="W17" s="775">
        <f>J17</f>
        <v>100</v>
      </c>
      <c r="X17" s="1815"/>
      <c r="Y17" s="3182"/>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182"/>
      <c r="Q18" s="1812"/>
      <c r="R18" s="774"/>
      <c r="S18" s="775"/>
      <c r="T18" s="774"/>
      <c r="U18" s="775"/>
      <c r="V18" s="774"/>
      <c r="W18" s="775"/>
      <c r="X18" s="1815"/>
      <c r="Y18" s="3182"/>
      <c r="Z18" s="1816"/>
      <c r="AA18" s="1813">
        <v>1</v>
      </c>
      <c r="AB18" s="1813">
        <v>1</v>
      </c>
      <c r="AC18" s="1813">
        <v>1</v>
      </c>
    </row>
    <row r="19" spans="1:29" ht="15">
      <c r="A19" s="428"/>
      <c r="B19" s="631" t="s">
        <v>2749</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2"/>
      <c r="Q19" s="1812" t="str">
        <f t="shared" ref="Q19:Q33" si="8">B19</f>
        <v>区域土地利用方向</v>
      </c>
      <c r="R19" s="774" t="s">
        <v>17</v>
      </c>
      <c r="S19" s="775">
        <f>F19</f>
        <v>100</v>
      </c>
      <c r="T19" s="774" t="s">
        <v>17</v>
      </c>
      <c r="U19" s="775">
        <f>H19</f>
        <v>100</v>
      </c>
      <c r="V19" s="774" t="s">
        <v>17</v>
      </c>
      <c r="W19" s="775">
        <f>J19</f>
        <v>100</v>
      </c>
      <c r="X19" s="1815"/>
      <c r="Y19" s="3182"/>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182"/>
      <c r="Q20" s="1812"/>
      <c r="R20" s="774"/>
      <c r="S20" s="775"/>
      <c r="T20" s="774"/>
      <c r="U20" s="775"/>
      <c r="V20" s="774"/>
      <c r="W20" s="775"/>
      <c r="X20" s="1815"/>
      <c r="Y20" s="3182"/>
      <c r="Z20" s="1816"/>
      <c r="AA20" s="1813"/>
      <c r="AB20" s="1813"/>
      <c r="AC20" s="1813"/>
    </row>
    <row r="21" spans="1:29" ht="71.25">
      <c r="A21" s="404"/>
      <c r="B21" s="631" t="s">
        <v>2799</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2"/>
      <c r="Q21" s="1812" t="str">
        <f t="shared" si="8"/>
        <v>环境状况</v>
      </c>
      <c r="R21" s="774" t="s">
        <v>17</v>
      </c>
      <c r="S21" s="775">
        <f>F21</f>
        <v>100</v>
      </c>
      <c r="T21" s="774" t="s">
        <v>17</v>
      </c>
      <c r="U21" s="775">
        <f>H21</f>
        <v>100</v>
      </c>
      <c r="V21" s="774" t="s">
        <v>17</v>
      </c>
      <c r="W21" s="775">
        <f>J21</f>
        <v>100</v>
      </c>
      <c r="X21" s="1815"/>
      <c r="Y21" s="3182"/>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182"/>
      <c r="Q22" s="1812"/>
      <c r="R22" s="774"/>
      <c r="S22" s="775"/>
      <c r="T22" s="774"/>
      <c r="U22" s="775"/>
      <c r="V22" s="774"/>
      <c r="W22" s="775"/>
      <c r="X22" s="1815"/>
      <c r="Y22" s="3182"/>
      <c r="Z22" s="1816"/>
      <c r="AA22" s="1813">
        <v>1</v>
      </c>
      <c r="AB22" s="1813">
        <v>1</v>
      </c>
      <c r="AC22" s="1813">
        <v>1</v>
      </c>
    </row>
    <row r="23" spans="1:29" s="117" customFormat="1" ht="42.75">
      <c r="A23" s="649"/>
      <c r="B23" s="633" t="s">
        <v>2655</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2"/>
      <c r="Q23" s="1797" t="str">
        <f t="shared" si="8"/>
        <v>公共配套设施</v>
      </c>
      <c r="R23" s="770" t="s">
        <v>17</v>
      </c>
      <c r="S23" s="771">
        <f>F23</f>
        <v>100</v>
      </c>
      <c r="T23" s="770" t="s">
        <v>17</v>
      </c>
      <c r="U23" s="771">
        <f>H23</f>
        <v>100</v>
      </c>
      <c r="V23" s="770" t="s">
        <v>17</v>
      </c>
      <c r="W23" s="771">
        <f>J23</f>
        <v>100</v>
      </c>
      <c r="X23" s="772"/>
      <c r="Y23" s="3182"/>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182"/>
      <c r="Q24" s="1797"/>
      <c r="R24" s="770"/>
      <c r="S24" s="771"/>
      <c r="T24" s="770"/>
      <c r="U24" s="771"/>
      <c r="V24" s="770"/>
      <c r="W24" s="771"/>
      <c r="X24" s="772"/>
      <c r="Y24" s="3182"/>
      <c r="Z24" s="55"/>
      <c r="AA24" s="773">
        <v>1</v>
      </c>
      <c r="AB24" s="773">
        <v>1</v>
      </c>
      <c r="AC24" s="773">
        <v>1</v>
      </c>
    </row>
    <row r="25" spans="1:29" s="117" customFormat="1" ht="28.5">
      <c r="A25" s="649"/>
      <c r="B25" s="633" t="s">
        <v>2656</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2"/>
      <c r="Q25" s="1797" t="str">
        <f t="shared" ref="Q25" si="9">B25</f>
        <v>基础设施水平</v>
      </c>
      <c r="R25" s="770" t="s">
        <v>17</v>
      </c>
      <c r="S25" s="771">
        <f>F25</f>
        <v>100</v>
      </c>
      <c r="T25" s="770" t="s">
        <v>17</v>
      </c>
      <c r="U25" s="771">
        <f>H25</f>
        <v>100</v>
      </c>
      <c r="V25" s="770" t="s">
        <v>17</v>
      </c>
      <c r="W25" s="771">
        <f>J25</f>
        <v>100</v>
      </c>
      <c r="X25" s="772"/>
      <c r="Y25" s="3182"/>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182"/>
      <c r="Q26" s="1797"/>
      <c r="R26" s="770"/>
      <c r="S26" s="771"/>
      <c r="T26" s="770"/>
      <c r="U26" s="771"/>
      <c r="V26" s="770"/>
      <c r="W26" s="771"/>
      <c r="X26" s="772"/>
      <c r="Y26" s="3182"/>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2"/>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2"/>
      <c r="Z27" s="1816" t="str">
        <f t="shared" ref="Z27:Z40" si="13">Q27</f>
        <v>临街状况</v>
      </c>
      <c r="AA27" s="1813">
        <f t="shared" si="3"/>
        <v>1</v>
      </c>
      <c r="AB27" s="1813">
        <f t="shared" si="4"/>
        <v>1</v>
      </c>
      <c r="AC27" s="1813">
        <f t="shared" si="5"/>
        <v>1</v>
      </c>
    </row>
    <row r="28" spans="1:29" ht="27">
      <c r="A28" s="428"/>
      <c r="B28" s="633" t="s">
        <v>2692</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2"/>
      <c r="Q28" s="1812" t="str">
        <f t="shared" si="8"/>
        <v>毗邻道路的类型与等级</v>
      </c>
      <c r="R28" s="774" t="s">
        <v>17</v>
      </c>
      <c r="S28" s="775">
        <f t="shared" si="10"/>
        <v>100</v>
      </c>
      <c r="T28" s="774" t="s">
        <v>17</v>
      </c>
      <c r="U28" s="775">
        <f t="shared" si="11"/>
        <v>100</v>
      </c>
      <c r="V28" s="774" t="s">
        <v>17</v>
      </c>
      <c r="W28" s="775">
        <f t="shared" si="12"/>
        <v>100</v>
      </c>
      <c r="X28" s="1815"/>
      <c r="Y28" s="3182"/>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182"/>
      <c r="Q29" s="1812"/>
      <c r="R29" s="774"/>
      <c r="S29" s="775"/>
      <c r="T29" s="774"/>
      <c r="U29" s="775"/>
      <c r="V29" s="774"/>
      <c r="W29" s="775"/>
      <c r="X29" s="1815"/>
      <c r="Y29" s="3182"/>
      <c r="Z29" s="1816"/>
      <c r="AA29" s="1813">
        <v>1</v>
      </c>
      <c r="AB29" s="1813">
        <v>1</v>
      </c>
      <c r="AC29" s="1813">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2"/>
      <c r="Q30" s="1812" t="str">
        <f t="shared" si="8"/>
        <v>土地级别</v>
      </c>
      <c r="R30" s="774" t="s">
        <v>17</v>
      </c>
      <c r="S30" s="775">
        <f t="shared" si="10"/>
        <v>100</v>
      </c>
      <c r="T30" s="774" t="s">
        <v>17</v>
      </c>
      <c r="U30" s="775">
        <f t="shared" si="11"/>
        <v>100</v>
      </c>
      <c r="V30" s="774" t="s">
        <v>17</v>
      </c>
      <c r="W30" s="775">
        <f t="shared" si="12"/>
        <v>100</v>
      </c>
      <c r="X30" s="1815"/>
      <c r="Y30" s="3182"/>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2"/>
      <c r="Q31" s="1812">
        <f t="shared" si="8"/>
        <v>111</v>
      </c>
      <c r="R31" s="774" t="s">
        <v>17</v>
      </c>
      <c r="S31" s="775">
        <f t="shared" si="10"/>
        <v>100</v>
      </c>
      <c r="T31" s="774" t="s">
        <v>17</v>
      </c>
      <c r="U31" s="775">
        <f t="shared" si="11"/>
        <v>100</v>
      </c>
      <c r="V31" s="774" t="s">
        <v>17</v>
      </c>
      <c r="W31" s="775">
        <f t="shared" si="12"/>
        <v>100</v>
      </c>
      <c r="X31" s="1815"/>
      <c r="Y31" s="3182"/>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3" t="s">
        <v>2566</v>
      </c>
      <c r="Q32" s="1812">
        <f t="shared" si="8"/>
        <v>111</v>
      </c>
      <c r="R32" s="774" t="s">
        <v>17</v>
      </c>
      <c r="S32" s="775">
        <f t="shared" si="10"/>
        <v>100</v>
      </c>
      <c r="T32" s="774" t="s">
        <v>17</v>
      </c>
      <c r="U32" s="775">
        <f t="shared" si="11"/>
        <v>100</v>
      </c>
      <c r="V32" s="774" t="s">
        <v>17</v>
      </c>
      <c r="W32" s="775">
        <f t="shared" si="12"/>
        <v>100</v>
      </c>
      <c r="X32" s="1815"/>
      <c r="Y32" s="3184" t="s">
        <v>2566</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4"/>
      <c r="Q33" s="1812">
        <f t="shared" si="8"/>
        <v>111</v>
      </c>
      <c r="R33" s="777" t="s">
        <v>17</v>
      </c>
      <c r="S33" s="778">
        <f t="shared" si="10"/>
        <v>100</v>
      </c>
      <c r="T33" s="777" t="s">
        <v>17</v>
      </c>
      <c r="U33" s="778">
        <f t="shared" si="11"/>
        <v>100</v>
      </c>
      <c r="V33" s="777" t="s">
        <v>17</v>
      </c>
      <c r="W33" s="778">
        <f t="shared" si="12"/>
        <v>100</v>
      </c>
      <c r="X33" s="779"/>
      <c r="Y33" s="3184"/>
      <c r="Z33" s="780">
        <f t="shared" si="13"/>
        <v>111</v>
      </c>
      <c r="AA33" s="1813">
        <f t="shared" si="3"/>
        <v>1</v>
      </c>
      <c r="AB33" s="1813">
        <f t="shared" si="4"/>
        <v>1</v>
      </c>
      <c r="AC33" s="1813">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4"/>
      <c r="Q34" s="1812" t="str">
        <f>B34</f>
        <v>宗地面积</v>
      </c>
      <c r="R34" s="774" t="s">
        <v>17</v>
      </c>
      <c r="S34" s="775" t="e">
        <f t="shared" si="10"/>
        <v>#N/A</v>
      </c>
      <c r="T34" s="774" t="s">
        <v>17</v>
      </c>
      <c r="U34" s="775" t="e">
        <f t="shared" si="11"/>
        <v>#N/A</v>
      </c>
      <c r="V34" s="774" t="s">
        <v>17</v>
      </c>
      <c r="W34" s="775" t="e">
        <f t="shared" si="12"/>
        <v>#N/A</v>
      </c>
      <c r="X34" s="1815"/>
      <c r="Y34" s="3184"/>
      <c r="Z34" s="1816" t="str">
        <f t="shared" si="13"/>
        <v>宗地面积</v>
      </c>
      <c r="AA34" s="1813" t="e">
        <f t="shared" si="3"/>
        <v>#N/A</v>
      </c>
      <c r="AB34" s="1813" t="e">
        <f t="shared" si="4"/>
        <v>#N/A</v>
      </c>
      <c r="AC34" s="1813" t="e">
        <f t="shared" si="5"/>
        <v>#N/A</v>
      </c>
    </row>
    <row r="35" spans="1:29" ht="15">
      <c r="A35" s="472"/>
      <c r="B35" s="422" t="s">
        <v>2753</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84"/>
      <c r="Q35" s="1812" t="str">
        <f t="shared" ref="Q35:Q40" si="14">B35</f>
        <v>宗地形状</v>
      </c>
      <c r="R35" s="774" t="s">
        <v>17</v>
      </c>
      <c r="S35" s="775">
        <f t="shared" si="10"/>
        <v>100</v>
      </c>
      <c r="T35" s="774" t="s">
        <v>17</v>
      </c>
      <c r="U35" s="775">
        <f t="shared" si="11"/>
        <v>100</v>
      </c>
      <c r="V35" s="774" t="s">
        <v>17</v>
      </c>
      <c r="W35" s="775">
        <f t="shared" si="12"/>
        <v>100</v>
      </c>
      <c r="X35" s="1815"/>
      <c r="Y35" s="3184"/>
      <c r="Z35" s="1816" t="str">
        <f t="shared" si="13"/>
        <v>宗地形状</v>
      </c>
      <c r="AA35" s="1813">
        <f t="shared" si="3"/>
        <v>1</v>
      </c>
      <c r="AB35" s="1813">
        <f t="shared" si="4"/>
        <v>1</v>
      </c>
      <c r="AC35" s="1813">
        <f t="shared" si="5"/>
        <v>1</v>
      </c>
    </row>
    <row r="36" spans="1:29" s="117" customFormat="1" ht="15">
      <c r="A36" s="473"/>
      <c r="B36" s="422" t="s">
        <v>2755</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84"/>
      <c r="Q36" s="1812" t="str">
        <f t="shared" si="14"/>
        <v>宗地开发程度</v>
      </c>
      <c r="R36" s="770" t="s">
        <v>17</v>
      </c>
      <c r="S36" s="771">
        <f t="shared" si="10"/>
        <v>100</v>
      </c>
      <c r="T36" s="770" t="s">
        <v>17</v>
      </c>
      <c r="U36" s="771">
        <f t="shared" si="11"/>
        <v>100</v>
      </c>
      <c r="V36" s="770" t="s">
        <v>17</v>
      </c>
      <c r="W36" s="771">
        <f t="shared" si="12"/>
        <v>100</v>
      </c>
      <c r="X36" s="772"/>
      <c r="Y36" s="3184"/>
      <c r="Z36" s="55" t="str">
        <f t="shared" si="13"/>
        <v>宗地开发程度</v>
      </c>
      <c r="AA36" s="773">
        <f t="shared" si="3"/>
        <v>1</v>
      </c>
      <c r="AB36" s="773">
        <f t="shared" si="4"/>
        <v>1</v>
      </c>
      <c r="AC36" s="773">
        <f t="shared" si="5"/>
        <v>1</v>
      </c>
    </row>
    <row r="37" spans="1:29" ht="15">
      <c r="A37" s="472"/>
      <c r="B37" s="422" t="s">
        <v>2756</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84" t="s">
        <v>2566</v>
      </c>
      <c r="Q37" s="1812" t="str">
        <f t="shared" si="14"/>
        <v>工程地质条件</v>
      </c>
      <c r="R37" s="774" t="s">
        <v>17</v>
      </c>
      <c r="S37" s="775">
        <f t="shared" si="10"/>
        <v>100</v>
      </c>
      <c r="T37" s="774" t="s">
        <v>17</v>
      </c>
      <c r="U37" s="775">
        <f t="shared" si="11"/>
        <v>100</v>
      </c>
      <c r="V37" s="774" t="s">
        <v>17</v>
      </c>
      <c r="W37" s="775">
        <f t="shared" si="12"/>
        <v>100</v>
      </c>
      <c r="X37" s="1815"/>
      <c r="Y37" s="3184" t="s">
        <v>2566</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4"/>
      <c r="Q38" s="1812">
        <f t="shared" si="14"/>
        <v>111</v>
      </c>
      <c r="R38" s="774" t="s">
        <v>17</v>
      </c>
      <c r="S38" s="775">
        <f t="shared" si="10"/>
        <v>100</v>
      </c>
      <c r="T38" s="774" t="s">
        <v>17</v>
      </c>
      <c r="U38" s="775">
        <f t="shared" si="11"/>
        <v>100</v>
      </c>
      <c r="V38" s="774" t="s">
        <v>17</v>
      </c>
      <c r="W38" s="775">
        <f t="shared" si="12"/>
        <v>100</v>
      </c>
      <c r="X38" s="1815"/>
      <c r="Y38" s="3184"/>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4"/>
      <c r="Q39" s="1812">
        <f t="shared" si="14"/>
        <v>111</v>
      </c>
      <c r="R39" s="774" t="s">
        <v>17</v>
      </c>
      <c r="S39" s="775">
        <f t="shared" si="10"/>
        <v>100</v>
      </c>
      <c r="T39" s="774" t="s">
        <v>17</v>
      </c>
      <c r="U39" s="775">
        <f t="shared" si="11"/>
        <v>100</v>
      </c>
      <c r="V39" s="774" t="s">
        <v>17</v>
      </c>
      <c r="W39" s="775">
        <f t="shared" si="12"/>
        <v>100</v>
      </c>
      <c r="X39" s="1815"/>
      <c r="Y39" s="3184"/>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4"/>
      <c r="Q40" s="1812">
        <f t="shared" si="14"/>
        <v>111</v>
      </c>
      <c r="R40" s="777" t="s">
        <v>17</v>
      </c>
      <c r="S40" s="778">
        <f t="shared" si="10"/>
        <v>100</v>
      </c>
      <c r="T40" s="777" t="s">
        <v>17</v>
      </c>
      <c r="U40" s="778">
        <f t="shared" si="11"/>
        <v>100</v>
      </c>
      <c r="V40" s="777" t="s">
        <v>17</v>
      </c>
      <c r="W40" s="778">
        <f t="shared" si="12"/>
        <v>100</v>
      </c>
      <c r="X40" s="779"/>
      <c r="Y40" s="3184"/>
      <c r="Z40" s="780">
        <f t="shared" si="13"/>
        <v>111</v>
      </c>
      <c r="AA40" s="1813">
        <f t="shared" si="3"/>
        <v>1</v>
      </c>
      <c r="AB40" s="1813">
        <f t="shared" si="4"/>
        <v>1</v>
      </c>
      <c r="AC40" s="1813">
        <f t="shared" si="5"/>
        <v>1</v>
      </c>
    </row>
    <row r="41" spans="1:29" ht="15">
      <c r="A41" s="479" t="s">
        <v>2721</v>
      </c>
      <c r="B41" s="2710" t="s">
        <v>2800</v>
      </c>
      <c r="C41" s="682" t="s">
        <v>1</v>
      </c>
      <c r="D41" s="481"/>
      <c r="E41" s="482"/>
      <c r="F41" s="483"/>
      <c r="G41" s="484"/>
      <c r="H41" s="485"/>
      <c r="I41" s="482"/>
      <c r="J41" s="485"/>
      <c r="K41" s="783"/>
      <c r="L41" s="1146"/>
      <c r="M41" s="1134"/>
      <c r="N41" s="1134"/>
      <c r="O41" s="1147"/>
      <c r="P41" s="3166" t="str">
        <f>A41</f>
        <v>成交单价</v>
      </c>
      <c r="Q41" s="3166"/>
      <c r="R41" s="3179">
        <f>E41</f>
        <v>0</v>
      </c>
      <c r="S41" s="3179"/>
      <c r="T41" s="3179">
        <f>G41</f>
        <v>0</v>
      </c>
      <c r="U41" s="3179"/>
      <c r="V41" s="3179">
        <f>I41</f>
        <v>0</v>
      </c>
      <c r="W41" s="3179"/>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66" t="str">
        <f>A42</f>
        <v>比较价值（元/平方米）</v>
      </c>
      <c r="Q42" s="3166"/>
      <c r="R42" s="3185" t="e">
        <f>ROUND(PRODUCT(R41,AA7:AA40),0)</f>
        <v>#DIV/0!</v>
      </c>
      <c r="S42" s="3185"/>
      <c r="T42" s="3185" t="e">
        <f>ROUND(PRODUCT(T41,AB7:AB40),0)</f>
        <v>#DIV/0!</v>
      </c>
      <c r="U42" s="3185"/>
      <c r="V42" s="3185" t="e">
        <f>ROUND(PRODUCT(V41,AC7:AC40),0)</f>
        <v>#DIV/0!</v>
      </c>
      <c r="W42" s="3185"/>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86" t="str">
        <f>A43</f>
        <v>估价对象XX用房的比较价值（楼面单价，元/平方米）</v>
      </c>
      <c r="Q43" s="3187"/>
      <c r="R43" s="3188" t="e">
        <f>ROUND(AVERAGE(R42:V42),0)</f>
        <v>#DIV/0!</v>
      </c>
      <c r="S43" s="3188"/>
      <c r="T43" s="3188"/>
      <c r="U43" s="3188"/>
      <c r="V43" s="3188"/>
      <c r="W43" s="318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11" t="s">
        <v>2760</v>
      </c>
      <c r="D50" s="2712" t="s">
        <v>2761</v>
      </c>
      <c r="E50" s="686" t="s">
        <v>2762</v>
      </c>
      <c r="F50" s="687" t="s">
        <v>2763</v>
      </c>
      <c r="G50" s="3167" t="s">
        <v>2764</v>
      </c>
      <c r="H50" s="3189"/>
      <c r="I50" s="1816" t="s">
        <v>2801</v>
      </c>
      <c r="J50" s="1816">
        <f>项目基本情况!F35</f>
        <v>0</v>
      </c>
      <c r="K50" s="2714" t="s">
        <v>2766</v>
      </c>
      <c r="L50" s="1109"/>
      <c r="M50" s="1147"/>
      <c r="N50" s="1147"/>
      <c r="O50" s="1147"/>
    </row>
    <row r="51" spans="1:17" s="692" customFormat="1">
      <c r="A51" s="688" t="s">
        <v>2767</v>
      </c>
      <c r="B51" s="689" t="e">
        <f>C43</f>
        <v>#DIV/0!</v>
      </c>
      <c r="C51" s="690">
        <v>1</v>
      </c>
      <c r="D51" s="1166">
        <v>1</v>
      </c>
      <c r="E51" s="690">
        <f>'数据-汇总表'!E8+'数据-汇总表'!E9</f>
        <v>16440.41</v>
      </c>
      <c r="F51" s="691" t="e">
        <f t="shared" ref="F51:F60" si="15">ROUND(B51*E51/10000,0)</f>
        <v>#DIV/0!</v>
      </c>
      <c r="G51" s="3190"/>
      <c r="H51" s="3166"/>
      <c r="I51" s="945">
        <v>1</v>
      </c>
      <c r="J51" s="945">
        <v>1</v>
      </c>
      <c r="K51" s="1148"/>
      <c r="L51" s="944"/>
      <c r="M51" s="944"/>
      <c r="N51" s="944"/>
      <c r="O51" s="944"/>
    </row>
    <row r="52" spans="1:17" s="692" customFormat="1">
      <c r="A52" s="693" t="s">
        <v>2768</v>
      </c>
      <c r="B52" s="262" t="e">
        <f>ROUND($C$43*C52*D52,0)</f>
        <v>#DIV/0!</v>
      </c>
      <c r="C52" s="200">
        <f t="shared" ref="C52:C60" si="16">IF($C$50="北京市系数",I52,J52)</f>
        <v>0</v>
      </c>
      <c r="D52" s="1167">
        <v>0.25</v>
      </c>
      <c r="E52" s="694"/>
      <c r="F52" s="691" t="e">
        <f t="shared" si="15"/>
        <v>#DIV/0!</v>
      </c>
      <c r="G52" s="3191" t="s">
        <v>2769</v>
      </c>
      <c r="H52" s="1107">
        <f>项目基本情况!B37</f>
        <v>0</v>
      </c>
      <c r="I52" s="945">
        <f>SUMIF(修正!A45:A56,H52,修正!B45:B56)</f>
        <v>0</v>
      </c>
      <c r="J52" s="946"/>
      <c r="K52" s="1147"/>
      <c r="L52" s="944"/>
      <c r="M52" s="944"/>
      <c r="N52" s="944"/>
      <c r="O52" s="944"/>
    </row>
    <row r="53" spans="1:17" s="692" customFormat="1">
      <c r="A53" s="693" t="s">
        <v>2770</v>
      </c>
      <c r="B53" s="262" t="e">
        <f t="shared" ref="B53:B60" si="17">ROUND($C$43*C53*D53,0)</f>
        <v>#DIV/0!</v>
      </c>
      <c r="C53" s="200">
        <f t="shared" si="16"/>
        <v>0</v>
      </c>
      <c r="D53" s="1167">
        <v>0.25</v>
      </c>
      <c r="E53" s="694"/>
      <c r="F53" s="691" t="e">
        <f t="shared" si="15"/>
        <v>#DIV/0!</v>
      </c>
      <c r="G53" s="3191"/>
      <c r="H53" s="1107">
        <f>项目基本情况!B37</f>
        <v>0</v>
      </c>
      <c r="I53" s="945">
        <f>SUMIF(修正!A45:A56,H53,修正!C45:C56)</f>
        <v>0</v>
      </c>
      <c r="J53" s="946"/>
      <c r="K53" s="1148"/>
      <c r="L53" s="944"/>
      <c r="M53" s="944"/>
      <c r="N53" s="944"/>
      <c r="O53" s="944"/>
    </row>
    <row r="54" spans="1:17" s="692" customFormat="1">
      <c r="A54" s="693" t="s">
        <v>2771</v>
      </c>
      <c r="B54" s="262" t="e">
        <f t="shared" si="17"/>
        <v>#DIV/0!</v>
      </c>
      <c r="C54" s="200">
        <f t="shared" si="16"/>
        <v>0</v>
      </c>
      <c r="D54" s="1167">
        <v>0.25</v>
      </c>
      <c r="E54" s="694"/>
      <c r="F54" s="691" t="e">
        <f t="shared" si="15"/>
        <v>#DIV/0!</v>
      </c>
      <c r="G54" s="3191"/>
      <c r="H54" s="1107">
        <f>项目基本情况!B37</f>
        <v>0</v>
      </c>
      <c r="I54" s="945">
        <f>SUMIF(修正!A45:A56,H54,修正!D45:D56)</f>
        <v>0</v>
      </c>
      <c r="J54" s="946"/>
      <c r="K54" s="1147"/>
      <c r="L54" s="944"/>
      <c r="M54" s="944"/>
      <c r="N54" s="944"/>
      <c r="O54" s="944"/>
    </row>
    <row r="55" spans="1:17" s="692" customFormat="1">
      <c r="A55" s="693" t="s">
        <v>2772</v>
      </c>
      <c r="B55" s="262" t="e">
        <f t="shared" si="17"/>
        <v>#DIV/0!</v>
      </c>
      <c r="C55" s="200">
        <f t="shared" si="16"/>
        <v>0</v>
      </c>
      <c r="D55" s="1167">
        <v>0.25</v>
      </c>
      <c r="E55" s="694"/>
      <c r="F55" s="691" t="e">
        <f t="shared" si="15"/>
        <v>#DIV/0!</v>
      </c>
      <c r="G55" s="3191"/>
      <c r="H55" s="1107">
        <f>项目基本情况!B37</f>
        <v>0</v>
      </c>
      <c r="I55" s="945">
        <f>SUMIF(修正!A45:A56,H55,修正!E45:E56)</f>
        <v>0</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5"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v>
      </c>
      <c r="D59" s="1167">
        <v>0.25</v>
      </c>
      <c r="E59" s="261">
        <f>'数据-汇总表'!E14</f>
        <v>0</v>
      </c>
      <c r="F59" s="691" t="e">
        <f t="shared" si="15"/>
        <v>#DIV/0!</v>
      </c>
      <c r="G59" s="2715" t="s">
        <v>2769</v>
      </c>
      <c r="H59" s="1107">
        <f>项目基本情况!B37</f>
        <v>0</v>
      </c>
      <c r="I59" s="945">
        <f>SUMIF(修正!A45:A56,H59,修正!H45:H56)</f>
        <v>0</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6"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1029</v>
      </c>
      <c r="E61" s="696">
        <f>IF(B41="楼面地价",SUM(E51:E60),'数据-汇总表'!D3)</f>
        <v>24812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7" t="s">
        <v>2782</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22" t="s">
        <v>2802</v>
      </c>
      <c r="B66" s="332" t="str">
        <f>"北京市平均增长率"&amp;TEXT(基准地价修正!P24,"0.00%")</f>
        <v>北京市平均增长率0.00%</v>
      </c>
      <c r="C66" s="603">
        <v>100</v>
      </c>
      <c r="D66" s="595"/>
      <c r="E66" s="595"/>
      <c r="F66" s="595"/>
      <c r="G66" s="595"/>
      <c r="H66" s="595"/>
      <c r="I66" s="595"/>
      <c r="J66" s="595"/>
      <c r="K66" s="595"/>
      <c r="L66" s="595"/>
      <c r="M66" s="1570"/>
      <c r="N66" s="1570"/>
      <c r="O66" s="1571"/>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2785</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2786</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2804</v>
      </c>
      <c r="B1" s="241"/>
      <c r="C1" s="245" t="s">
        <v>2805</v>
      </c>
      <c r="D1" s="388">
        <f>SUM(D29:D30,D33:D39)</f>
        <v>0</v>
      </c>
      <c r="E1" s="2723"/>
      <c r="F1" s="2723"/>
      <c r="G1" s="2723"/>
      <c r="H1" s="2723"/>
      <c r="I1" s="2723"/>
      <c r="J1" s="2723"/>
      <c r="K1" s="1373"/>
      <c r="L1" s="2724" t="s">
        <v>2806</v>
      </c>
      <c r="M1" s="1083">
        <f>SUMPRODUCT((区片价!B5:B9=I2)*(区片价!C3:F3=E2)*(区片价!C5:F9))</f>
        <v>0</v>
      </c>
      <c r="N1" s="1086">
        <f>SUMPRODUCT((因素修正幅度!B5:B9=I2)*(因素修正幅度!C3:F3=E2)*(因素修正幅度!C5:F9))</f>
        <v>0</v>
      </c>
      <c r="O1" s="2725"/>
      <c r="P1" s="2725"/>
      <c r="Q1" s="1373"/>
      <c r="R1" s="1604" t="s">
        <v>2807</v>
      </c>
      <c r="S1" s="1604" t="s">
        <v>2808</v>
      </c>
      <c r="T1" s="1604" t="s">
        <v>2809</v>
      </c>
      <c r="U1" s="1604" t="s">
        <v>2810</v>
      </c>
      <c r="V1" s="1604" t="s">
        <v>2811</v>
      </c>
      <c r="W1" s="1608"/>
      <c r="X1" s="1608"/>
      <c r="Y1" s="1608"/>
      <c r="Z1" s="1608"/>
      <c r="AA1" s="1608"/>
      <c r="AB1" s="1608"/>
      <c r="AC1" s="1609"/>
      <c r="AD1" s="1610"/>
      <c r="AE1" s="1610"/>
      <c r="AF1" s="1610"/>
      <c r="AG1" s="1610"/>
      <c r="AH1" s="1610"/>
      <c r="AI1" s="1610"/>
      <c r="AJ1" s="1611"/>
    </row>
    <row r="2" spans="1:36" ht="15.75">
      <c r="A2" s="245" t="s">
        <v>2812</v>
      </c>
      <c r="B2" s="248" t="e">
        <f>C26</f>
        <v>#DIV/0!</v>
      </c>
      <c r="C2" s="2727" t="s">
        <v>2813</v>
      </c>
      <c r="D2" s="2728" t="s">
        <v>2814</v>
      </c>
      <c r="E2" s="2729"/>
      <c r="F2" s="2728" t="s">
        <v>2815</v>
      </c>
      <c r="G2" s="2730">
        <f>IF(E2="商业",项目基本情况!B37,IF(E2="办公",项目基本情况!C37,IF(E2="住宅",项目基本情况!D37,项目基本情况!E37)))</f>
        <v>0</v>
      </c>
      <c r="H2" s="2728" t="s">
        <v>2816</v>
      </c>
      <c r="I2" s="2730">
        <f>IF(E2="商业",项目基本情况!B38,IF(E2="办公",项目基本情况!C38,IF(E2="住宅",项目基本情况!D38,项目基本情况!E38)))</f>
        <v>0</v>
      </c>
      <c r="J2" s="2731"/>
      <c r="K2" s="1373"/>
      <c r="L2" s="2732" t="s">
        <v>2817</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2818</v>
      </c>
      <c r="B3" s="248" t="e">
        <f>ROUND(B2*10000/D1,0)</f>
        <v>#DIV/0!</v>
      </c>
      <c r="C3" s="2727" t="s">
        <v>2819</v>
      </c>
      <c r="D3" s="2728" t="s">
        <v>2820</v>
      </c>
      <c r="E3" s="2733"/>
      <c r="F3" s="2734" t="s">
        <v>2821</v>
      </c>
      <c r="G3" s="916">
        <f>IF(F3="宗地容积率",'数据-汇总表'!I4,IF(F3="估价对象容积率",'数据-汇总表'!I6,'数据-汇总表'!I7))</f>
        <v>0.66</v>
      </c>
      <c r="H3" s="198" t="s">
        <v>2822</v>
      </c>
      <c r="I3" s="947"/>
      <c r="J3" s="2731" t="s">
        <v>2823</v>
      </c>
      <c r="K3" s="1373"/>
      <c r="L3" s="2732" t="s">
        <v>2824</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0"/>
      <c r="B4" s="3261"/>
      <c r="C4" s="3261"/>
      <c r="D4" s="3262"/>
      <c r="E4" s="3262"/>
      <c r="F4" s="3262"/>
      <c r="G4" s="3262"/>
      <c r="H4" s="3262"/>
      <c r="I4" s="3262"/>
      <c r="J4" s="3263"/>
      <c r="K4" s="1373"/>
      <c r="L4" s="2732" t="s">
        <v>2825</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2826</v>
      </c>
      <c r="C5" s="917" t="e">
        <f>ROUND(IF(E2="商业",IF(F16="增加",C6*C7+C16,C6*C7-C16),IF(E2="住宅",IF(F16="增加",C6*C12+C16,C6*C12-C16),IF(F16="增加",C6+C16,C6-C16))),0)</f>
        <v>#DIV/0!</v>
      </c>
      <c r="D5" s="1789">
        <f>ROUND(IF(E2="商业",IF(F16="增加",C6+C16,C6-C16)),0)</f>
        <v>0</v>
      </c>
      <c r="E5" s="2737"/>
      <c r="F5" s="2737"/>
      <c r="G5" s="2738"/>
      <c r="H5" s="2738"/>
      <c r="I5" s="2738"/>
      <c r="J5" s="2739"/>
      <c r="K5" s="2740"/>
      <c r="L5" s="2732" t="s">
        <v>2827</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2828</v>
      </c>
      <c r="B6" s="2746" t="s">
        <v>2829</v>
      </c>
      <c r="C6" s="918">
        <f>SUMIF(L1:L12,G2,M1:M12)</f>
        <v>0</v>
      </c>
      <c r="D6" s="2747" t="s">
        <v>2830</v>
      </c>
      <c r="E6" s="2748"/>
      <c r="F6" s="2748"/>
      <c r="G6" s="2749"/>
      <c r="H6" s="2749"/>
      <c r="I6" s="2749"/>
      <c r="J6" s="2750"/>
      <c r="K6" s="1844"/>
      <c r="L6" s="2732" t="s">
        <v>2831</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246" t="str">
        <f>IF(E2="商业",IF(C8="不临58条商业街","",2),"")</f>
        <v/>
      </c>
      <c r="B7" s="2751" t="s">
        <v>2832</v>
      </c>
      <c r="C7" s="919" t="e">
        <f>IF(C8="不临58条商业街",1,ROUND(1+(1.6*E8+1.2*E9+0.8*E10+0.4*E11)*C9,4))</f>
        <v>#DIV/0!</v>
      </c>
      <c r="D7" s="2752" t="s">
        <v>2833</v>
      </c>
      <c r="E7" s="948"/>
      <c r="F7" s="2753"/>
      <c r="G7" s="2754"/>
      <c r="H7" s="2754"/>
      <c r="I7" s="2754"/>
      <c r="J7" s="2755"/>
      <c r="K7" s="1844"/>
      <c r="L7" s="2732" t="s">
        <v>2834</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2835</v>
      </c>
      <c r="X7" s="1606">
        <f>G2</f>
        <v>0</v>
      </c>
      <c r="Y7" s="1606" t="s">
        <v>2836</v>
      </c>
      <c r="Z7" s="1607">
        <f>G3</f>
        <v>0.66</v>
      </c>
      <c r="AA7" s="1608"/>
      <c r="AB7" s="1608"/>
      <c r="AC7" s="1609"/>
      <c r="AD7" s="1610"/>
      <c r="AE7" s="1610"/>
      <c r="AF7" s="1610"/>
      <c r="AG7" s="1610"/>
      <c r="AH7" s="1610"/>
      <c r="AI7" s="1610"/>
      <c r="AJ7" s="1611"/>
    </row>
    <row r="8" spans="1:36" ht="15">
      <c r="A8" s="3247"/>
      <c r="B8" s="198" t="s">
        <v>2837</v>
      </c>
      <c r="C8" s="2756"/>
      <c r="D8" s="920" t="s">
        <v>139</v>
      </c>
      <c r="E8" s="921" t="e">
        <f>ROUND(C11/E7,4)</f>
        <v>#DIV/0!</v>
      </c>
      <c r="F8" s="2757" t="s">
        <v>2838</v>
      </c>
      <c r="G8" s="2758"/>
      <c r="H8" s="2758"/>
      <c r="I8" s="2758"/>
      <c r="J8" s="2759"/>
      <c r="K8" s="1373"/>
      <c r="L8" s="2732" t="s">
        <v>2839</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57" t="s">
        <v>2840</v>
      </c>
      <c r="X8" s="3258"/>
      <c r="Y8" s="1612" t="s">
        <v>2841</v>
      </c>
      <c r="Z8" s="1612" t="s">
        <v>2842</v>
      </c>
      <c r="AA8" s="1612" t="s">
        <v>2843</v>
      </c>
      <c r="AB8" s="1612" t="s">
        <v>2844</v>
      </c>
      <c r="AC8" s="1612" t="s">
        <v>2845</v>
      </c>
      <c r="AD8" s="1612" t="s">
        <v>2846</v>
      </c>
      <c r="AE8" s="1612" t="s">
        <v>2847</v>
      </c>
      <c r="AF8" s="1612" t="s">
        <v>2848</v>
      </c>
      <c r="AG8" s="1612" t="s">
        <v>2849</v>
      </c>
      <c r="AH8" s="1612" t="s">
        <v>2850</v>
      </c>
      <c r="AI8" s="1612" t="s">
        <v>2851</v>
      </c>
      <c r="AJ8" s="1612" t="s">
        <v>2852</v>
      </c>
    </row>
    <row r="9" spans="1:36" ht="15">
      <c r="A9" s="3247"/>
      <c r="B9" s="198" t="s">
        <v>2853</v>
      </c>
      <c r="C9" s="922">
        <f>SUMIF(修正!C59:C119,C8,修正!E59:E119)</f>
        <v>0</v>
      </c>
      <c r="D9" s="200" t="s">
        <v>140</v>
      </c>
      <c r="E9" s="200" t="e">
        <f>ROUND(C11/E7,4)</f>
        <v>#DIV/0!</v>
      </c>
      <c r="F9" s="2757" t="s">
        <v>2854</v>
      </c>
      <c r="G9" s="2758"/>
      <c r="H9" s="2758"/>
      <c r="I9" s="2758"/>
      <c r="J9" s="2759"/>
      <c r="K9" s="1373"/>
      <c r="L9" s="2732" t="s">
        <v>2855</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59" t="s">
        <v>2856</v>
      </c>
      <c r="X9" s="1613" t="s">
        <v>2857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47"/>
      <c r="B10" s="198" t="s">
        <v>2858</v>
      </c>
      <c r="C10" s="200">
        <f>SUMIF(修正!C59:C119,C8,修正!F59:F119)</f>
        <v>0</v>
      </c>
      <c r="D10" s="200" t="s">
        <v>141</v>
      </c>
      <c r="E10" s="200" t="e">
        <f>ROUND(C11/E7,4)</f>
        <v>#DIV/0!</v>
      </c>
      <c r="F10" s="2757" t="s">
        <v>2859</v>
      </c>
      <c r="G10" s="2758"/>
      <c r="H10" s="2758"/>
      <c r="I10" s="2758"/>
      <c r="J10" s="2759"/>
      <c r="K10" s="1373"/>
      <c r="L10" s="2732" t="s">
        <v>2860</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59"/>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47"/>
      <c r="B11" s="2760" t="s">
        <v>2861</v>
      </c>
      <c r="C11" s="923">
        <f>C10/4</f>
        <v>0</v>
      </c>
      <c r="D11" s="923" t="s">
        <v>142</v>
      </c>
      <c r="E11" s="923" t="e">
        <f>ROUND(C11/E7,4)</f>
        <v>#DIV/0!</v>
      </c>
      <c r="F11" s="2761" t="s">
        <v>2862</v>
      </c>
      <c r="G11" s="2762"/>
      <c r="H11" s="2762"/>
      <c r="I11" s="2762"/>
      <c r="J11" s="2763"/>
      <c r="K11" s="1373"/>
      <c r="L11" s="2732" t="s">
        <v>2863</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59" t="s">
        <v>2864</v>
      </c>
      <c r="X11" s="1616" t="s">
        <v>2865</v>
      </c>
      <c r="Y11" s="1617">
        <f>$G$3</f>
        <v>0.66</v>
      </c>
      <c r="Z11" s="1617">
        <f t="shared" ref="Z11:AJ11" si="3">$G$3</f>
        <v>0.66</v>
      </c>
      <c r="AA11" s="1617">
        <f t="shared" si="3"/>
        <v>0.66</v>
      </c>
      <c r="AB11" s="1617">
        <f t="shared" si="3"/>
        <v>0.66</v>
      </c>
      <c r="AC11" s="1617">
        <f t="shared" si="3"/>
        <v>0.66</v>
      </c>
      <c r="AD11" s="1617">
        <f t="shared" si="3"/>
        <v>0.66</v>
      </c>
      <c r="AE11" s="1617">
        <f t="shared" si="3"/>
        <v>0.66</v>
      </c>
      <c r="AF11" s="1617">
        <f t="shared" si="3"/>
        <v>0.66</v>
      </c>
      <c r="AG11" s="1617">
        <f t="shared" si="3"/>
        <v>0.66</v>
      </c>
      <c r="AH11" s="1617">
        <f t="shared" si="3"/>
        <v>0.66</v>
      </c>
      <c r="AI11" s="1617">
        <f t="shared" si="3"/>
        <v>0.66</v>
      </c>
      <c r="AJ11" s="1617">
        <f t="shared" si="3"/>
        <v>0.66</v>
      </c>
    </row>
    <row r="12" spans="1:36" ht="25.5" thickBot="1">
      <c r="A12" s="3246" t="s">
        <v>2866</v>
      </c>
      <c r="B12" s="2764" t="s">
        <v>2867</v>
      </c>
      <c r="C12" s="919">
        <f>ROUND(C15*D15*E15*F15*G15*H15*I15*J15,4)</f>
        <v>1</v>
      </c>
      <c r="D12" s="2765" t="s">
        <v>2868</v>
      </c>
      <c r="E12" s="2766"/>
      <c r="F12" s="2766"/>
      <c r="G12" s="2767"/>
      <c r="H12" s="2767"/>
      <c r="I12" s="2767"/>
      <c r="J12" s="2768"/>
      <c r="K12" s="1373"/>
      <c r="L12" s="2769" t="s">
        <v>2869</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59"/>
      <c r="X12" s="1618" t="s">
        <v>2870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4"/>
      <c r="B13" s="2770" t="s">
        <v>2871</v>
      </c>
      <c r="C13" s="2771" t="s">
        <v>2872</v>
      </c>
      <c r="D13" s="1810" t="s">
        <v>2873</v>
      </c>
      <c r="E13" s="1810" t="s">
        <v>2874</v>
      </c>
      <c r="F13" s="30" t="s">
        <v>2875</v>
      </c>
      <c r="G13" s="2772" t="s">
        <v>2876</v>
      </c>
      <c r="H13" s="2772" t="s">
        <v>2876</v>
      </c>
      <c r="I13" s="2772" t="s">
        <v>2876</v>
      </c>
      <c r="J13" s="2773" t="s">
        <v>2876</v>
      </c>
      <c r="K13" s="1373"/>
      <c r="L13" s="1373"/>
      <c r="M13" s="1373"/>
      <c r="N13" s="1373"/>
      <c r="O13" s="1373"/>
      <c r="P13" s="1373"/>
      <c r="Q13" s="1373"/>
      <c r="R13" s="1604">
        <v>12</v>
      </c>
      <c r="S13" s="1605"/>
      <c r="T13" s="1604" t="e">
        <f t="shared" si="0"/>
        <v>#DIV/0!</v>
      </c>
      <c r="U13" s="1605"/>
      <c r="V13" s="1604" t="e">
        <f t="shared" si="1"/>
        <v>#DIV/0!</v>
      </c>
      <c r="W13" s="3259"/>
      <c r="X13" s="1618"/>
      <c r="Y13" s="1615">
        <f>(-0.163*(Y12^2)-0.59*Y12+7617)*(10^(-4))/Y11</f>
        <v>1.1540909090909091</v>
      </c>
      <c r="Z13" s="1615">
        <f t="shared" ref="Z13:AJ13" si="5">(-0.163*(Z12^2)-0.59*Z12+7617)*(10^(-4))/Z11</f>
        <v>1.1540909090909091</v>
      </c>
      <c r="AA13" s="1615">
        <f t="shared" si="5"/>
        <v>1.1540909090909091</v>
      </c>
      <c r="AB13" s="1615">
        <f t="shared" si="5"/>
        <v>1.1540909090909091</v>
      </c>
      <c r="AC13" s="1615">
        <f t="shared" si="5"/>
        <v>1.1540909090909091</v>
      </c>
      <c r="AD13" s="1615">
        <f t="shared" si="5"/>
        <v>1.1540909090909091</v>
      </c>
      <c r="AE13" s="1615">
        <f t="shared" si="5"/>
        <v>1.1540909090909091</v>
      </c>
      <c r="AF13" s="1615">
        <f t="shared" si="5"/>
        <v>1.1540909090909091</v>
      </c>
      <c r="AG13" s="1615">
        <f t="shared" si="5"/>
        <v>1.1540909090909091</v>
      </c>
      <c r="AH13" s="1615">
        <f t="shared" si="5"/>
        <v>1.1540909090909091</v>
      </c>
      <c r="AI13" s="1615">
        <f t="shared" si="5"/>
        <v>1.1540909090909091</v>
      </c>
      <c r="AJ13" s="1615">
        <f t="shared" si="5"/>
        <v>1.1540909090909091</v>
      </c>
    </row>
    <row r="14" spans="1:36" ht="15">
      <c r="A14" s="3264"/>
      <c r="B14" s="2774"/>
      <c r="C14" s="2775"/>
      <c r="D14" s="2776"/>
      <c r="E14" s="2776"/>
      <c r="F14" s="2777"/>
      <c r="G14" s="2778" t="s">
        <v>2877</v>
      </c>
      <c r="H14" s="2779"/>
      <c r="I14" s="2780"/>
      <c r="J14" s="278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5"/>
      <c r="B15" s="2782" t="s">
        <v>2878</v>
      </c>
      <c r="C15" s="229">
        <f>IF(C14="有",1.1,1)</f>
        <v>1</v>
      </c>
      <c r="D15" s="229">
        <f>IF(D14="有",1.1,1)</f>
        <v>1</v>
      </c>
      <c r="E15" s="229">
        <f>IF(E14="有",1.1,1)</f>
        <v>1</v>
      </c>
      <c r="F15" s="229">
        <f>IF(F14="500米范围内",1.2,IF(F14="500-1000米",1.1,1))</f>
        <v>1</v>
      </c>
      <c r="G15" s="949">
        <v>1</v>
      </c>
      <c r="H15" s="949">
        <v>1</v>
      </c>
      <c r="I15" s="949">
        <v>1</v>
      </c>
      <c r="J15" s="950">
        <v>1</v>
      </c>
      <c r="K15" s="1373"/>
      <c r="L15" s="2783" t="s">
        <v>2814</v>
      </c>
      <c r="M15" s="920" t="s">
        <v>2879</v>
      </c>
      <c r="N15" s="920" t="s">
        <v>2880</v>
      </c>
      <c r="O15" s="920" t="s">
        <v>2881</v>
      </c>
      <c r="P15" s="2784" t="s">
        <v>2882</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46" t="s">
        <v>2883</v>
      </c>
      <c r="B16" s="2751" t="s">
        <v>2884</v>
      </c>
      <c r="C16" s="1803" t="e">
        <f>ROUND(SUM(G17:J17)/C17,0)</f>
        <v>#DIV/0!</v>
      </c>
      <c r="D16" s="2785" t="s">
        <v>2885</v>
      </c>
      <c r="E16" s="2786"/>
      <c r="F16" s="2787"/>
      <c r="G16" s="2788"/>
      <c r="H16" s="2788"/>
      <c r="I16" s="2788"/>
      <c r="J16" s="2789"/>
      <c r="K16" s="1373"/>
      <c r="L16" s="2790" t="s">
        <v>2886</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47"/>
      <c r="B17" s="2791" t="s">
        <v>2887</v>
      </c>
      <c r="C17" s="924">
        <f>SUMPRODUCT((修正!A2:A5=E2)*(修正!B1:M1=G2)*(修正!B2:M5))</f>
        <v>0</v>
      </c>
      <c r="D17" s="2792"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2891</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2892</v>
      </c>
      <c r="C19" s="927" t="e">
        <f>ROUND(IF(H19="按公示增长率计算",SUMPRODUCT((地价!A3:A23=YEAR(G19)&amp;"-"&amp;ROUNDUP(MONTH(G19)/3,0))*(地价!X2:AB2=E2)*(地价!X3:AB23)),IF(H19="地价指数",M20/M19,(1+I19)^O19)),4)</f>
        <v>#DIV/0!</v>
      </c>
      <c r="D19" s="2803" t="s">
        <v>2893</v>
      </c>
      <c r="E19" s="928">
        <v>41640</v>
      </c>
      <c r="F19" s="2803" t="s">
        <v>2894</v>
      </c>
      <c r="G19" s="929">
        <f>'数据-取费表'!B2</f>
        <v>43416</v>
      </c>
      <c r="H19" s="2804" t="s">
        <v>2895</v>
      </c>
      <c r="I19" s="930" t="str">
        <f>IF(H19="季度增幅（自定义）",SUMIF(N21:N24,E2,O21:O24),"")</f>
        <v/>
      </c>
      <c r="J19" s="2801"/>
      <c r="K19" s="1380"/>
      <c r="L19" s="2805" t="s">
        <v>2896</v>
      </c>
      <c r="M19" s="1736">
        <f>ROUND(SUMIF(地价!B2:F2,E2,地价!B23:F23),0)</f>
        <v>0</v>
      </c>
      <c r="N19" s="2806" t="s">
        <v>2897</v>
      </c>
      <c r="O19" s="931">
        <f>ROUNDDOWN(DATEDIF(E19,G19,"M")/3,0)</f>
        <v>19</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2898</v>
      </c>
      <c r="C20" s="932" t="e">
        <f>ROUND(POWER(1+G20,J20-I20)*(POWER(1+G20,I20)-1)/(POWER(1+G20,J20)-1),4)</f>
        <v>#DIV/0!</v>
      </c>
      <c r="D20" s="2812" t="s">
        <v>2899</v>
      </c>
      <c r="E20" s="1770">
        <f ca="1">存贷款利率!D4/100</f>
        <v>4.3499999999999997E-2</v>
      </c>
      <c r="F20" s="2812" t="s">
        <v>2890</v>
      </c>
      <c r="G20" s="937">
        <f>SUMIF(M15:P15,E2,M17:P17)</f>
        <v>0</v>
      </c>
      <c r="H20" s="2812" t="s">
        <v>2900</v>
      </c>
      <c r="I20" s="938" t="e">
        <f>SUMIF('数据-取费表'!C6:C15,E2,'数据-取费表'!F6:F15)/COUNTIF('数据-取费表'!C6:C15,E2)</f>
        <v>#DIV/0!</v>
      </c>
      <c r="J20" s="939">
        <f>IF(E2="住宅",70,IF(E2="商业",40,50))</f>
        <v>50</v>
      </c>
      <c r="K20" s="1380"/>
      <c r="L20" s="2813" t="s">
        <v>2901</v>
      </c>
      <c r="M20" s="1737">
        <f>ROUND(SUMPRODUCT((地价!A4:A23=YEAR(G19)&amp;"-"&amp;ROUNDUP(MONTH(G19)/3,0))*(地价!B2:F2=E2)*(地价!B4:F23)),0)</f>
        <v>0</v>
      </c>
      <c r="N20" s="2814" t="s">
        <v>2902</v>
      </c>
      <c r="O20" s="2815" t="s">
        <v>2903</v>
      </c>
      <c r="P20" s="2816" t="s">
        <v>2904</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2905</v>
      </c>
      <c r="C21" s="940">
        <f>IF(B21="容积率修正",IF(G3&lt;=10,D22,J22),C23)</f>
        <v>0</v>
      </c>
      <c r="D21" s="2819"/>
      <c r="E21" s="2819"/>
      <c r="F21" s="2819"/>
      <c r="G21" s="2819"/>
      <c r="H21" s="2819"/>
      <c r="I21" s="2819"/>
      <c r="J21" s="2820"/>
      <c r="K21" s="1380"/>
      <c r="N21" s="2821" t="s">
        <v>2906</v>
      </c>
      <c r="O21" s="1564"/>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44" customFormat="1" ht="14.25">
      <c r="A22" s="2670" t="s">
        <v>2907</v>
      </c>
      <c r="B22" s="2822" t="s">
        <v>2908</v>
      </c>
      <c r="C22" s="1812" t="s">
        <v>2909</v>
      </c>
      <c r="D22" s="1812">
        <f>IF(E22=G22,F22,IF(G3&lt;=10,ROUND(F22+(H22-F22)*(G3-E22)/(G22-E22),4),"——"))</f>
        <v>0</v>
      </c>
      <c r="E22" s="916">
        <f>ROUNDDOWN(G3,1)</f>
        <v>0.6</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1" t="s">
        <v>2910</v>
      </c>
      <c r="O22" s="1564"/>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70" t="s">
        <v>2911</v>
      </c>
      <c r="B23" s="2823" t="s">
        <v>2912</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2913</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2914</v>
      </c>
      <c r="C24" s="927">
        <f>SUMIF(A45:A88,E2,B45:B88)</f>
        <v>0</v>
      </c>
      <c r="D24" s="2799"/>
      <c r="E24" s="2829"/>
      <c r="F24" s="2829"/>
      <c r="G24" s="2829"/>
      <c r="H24" s="2829"/>
      <c r="I24" s="2829"/>
      <c r="J24" s="2830"/>
      <c r="K24" s="1380"/>
      <c r="N24" s="2831" t="s">
        <v>2915</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2916</v>
      </c>
      <c r="C25" s="933"/>
      <c r="D25" s="2754"/>
      <c r="E25" s="2754"/>
      <c r="F25" s="2833"/>
      <c r="G25" s="2754"/>
      <c r="H25" s="2754"/>
      <c r="I25" s="2754"/>
      <c r="J25" s="2755"/>
      <c r="K25" s="1373"/>
      <c r="N25" s="2834" t="s">
        <v>2917</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35"/>
      <c r="B26" s="2822" t="s">
        <v>2918</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2919</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2920</v>
      </c>
      <c r="C28" s="2846" t="s">
        <v>2921</v>
      </c>
      <c r="D28" s="2846" t="s">
        <v>2922</v>
      </c>
      <c r="E28" s="2847" t="s">
        <v>2923</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2924</v>
      </c>
      <c r="C29" s="206" t="e">
        <f>ROUND(C5*C18*C19*C20*C21*C24,0)</f>
        <v>#DIV/0!</v>
      </c>
      <c r="D29" s="2851"/>
      <c r="E29" s="945" t="e">
        <f>ROUND(C29*D29/10000,0)</f>
        <v>#DIV/0!</v>
      </c>
      <c r="F29" s="2852" t="s">
        <v>2925</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2926</v>
      </c>
      <c r="C30" s="229" t="e">
        <f>ROUND(IF(E2="工业",C29*M39,C29*M38),0)</f>
        <v>#DIV/0!</v>
      </c>
      <c r="D30" s="2857"/>
      <c r="E30" s="945" t="e">
        <f>ROUND(C30*D30/10000,0)</f>
        <v>#DIV/0!</v>
      </c>
      <c r="F30" s="2858" t="s">
        <v>2927</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2928</v>
      </c>
      <c r="C31" s="2863" t="s">
        <v>2929</v>
      </c>
      <c r="D31" s="2767"/>
      <c r="E31" s="2863"/>
      <c r="F31" s="2863"/>
      <c r="G31" s="2765" t="s">
        <v>2930</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2921</v>
      </c>
      <c r="D32" s="498" t="s">
        <v>2922</v>
      </c>
      <c r="E32" s="498" t="s">
        <v>2923</v>
      </c>
      <c r="F32" s="388" t="s">
        <v>2931</v>
      </c>
      <c r="G32" s="2866" t="s">
        <v>2921</v>
      </c>
      <c r="H32" s="2866" t="s">
        <v>2922</v>
      </c>
      <c r="I32" s="2866"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54" t="s">
        <v>2932</v>
      </c>
      <c r="B33" s="2867" t="s">
        <v>2933</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5"/>
      <c r="B34" s="2771" t="s">
        <v>2934</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5"/>
      <c r="B35" s="2771" t="s">
        <v>2935</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56"/>
      <c r="B36" s="2771" t="s">
        <v>2936</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2937</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2938</v>
      </c>
      <c r="M37" s="2871"/>
      <c r="N37" s="1373"/>
      <c r="O37" s="1373"/>
      <c r="P37" s="1373"/>
      <c r="Q37" s="1373"/>
      <c r="R37" s="1373"/>
      <c r="S37" s="1373"/>
      <c r="T37" s="1373"/>
      <c r="U37" s="1373"/>
      <c r="V37" s="1373"/>
      <c r="W37" s="1373"/>
      <c r="X37" s="1373"/>
      <c r="Y37" s="1373"/>
      <c r="Z37" s="1374"/>
    </row>
    <row r="38" spans="1:37">
      <c r="A38" s="2869"/>
      <c r="B38" s="2771" t="s">
        <v>2939</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89" t="s">
        <v>2940</v>
      </c>
      <c r="M38" s="2872">
        <v>0.25</v>
      </c>
      <c r="N38" s="1373"/>
      <c r="O38" s="1373"/>
      <c r="P38" s="1373"/>
      <c r="Q38" s="1373"/>
      <c r="R38" s="1373"/>
      <c r="S38" s="1373"/>
      <c r="T38" s="1373"/>
      <c r="U38" s="1373"/>
      <c r="V38" s="1373"/>
      <c r="W38" s="1373"/>
      <c r="X38" s="1373"/>
      <c r="Y38" s="1373"/>
      <c r="Z38" s="1374"/>
    </row>
    <row r="39" spans="1:37" ht="13.5" thickBot="1">
      <c r="A39" s="2855"/>
      <c r="B39" s="2873" t="s">
        <v>2941</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2882</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2942</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2943</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2944</v>
      </c>
      <c r="B47" s="1811" t="s">
        <v>2945</v>
      </c>
      <c r="C47" s="1811" t="s">
        <v>2946</v>
      </c>
      <c r="D47" s="1811" t="s">
        <v>2947</v>
      </c>
      <c r="E47" s="819" t="s">
        <v>2948</v>
      </c>
      <c r="F47" s="2885" t="s">
        <v>2949</v>
      </c>
      <c r="G47" s="1811" t="s">
        <v>754</v>
      </c>
      <c r="H47" s="2886" t="s">
        <v>2950</v>
      </c>
      <c r="I47" s="1811" t="s">
        <v>2951</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4" t="s">
        <v>2952</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2953</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2954</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2955</v>
      </c>
      <c r="B51" s="2889" t="s">
        <v>2956</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2957</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2958</v>
      </c>
      <c r="B53" s="2890" t="s">
        <v>2959</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2960</v>
      </c>
      <c r="B54" s="1727"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2961</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2962</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2963</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2944</v>
      </c>
      <c r="B58" s="1811"/>
      <c r="C58" s="1811" t="s">
        <v>2946</v>
      </c>
      <c r="D58" s="1811" t="s">
        <v>2947</v>
      </c>
      <c r="E58" s="819" t="s">
        <v>2948</v>
      </c>
      <c r="F58" s="2885" t="s">
        <v>2964</v>
      </c>
      <c r="G58" s="1811" t="s">
        <v>754</v>
      </c>
      <c r="H58" s="2886" t="s">
        <v>2950</v>
      </c>
      <c r="I58" s="1811" t="s">
        <v>2951</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4" t="s">
        <v>2965</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2953</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2954</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2955</v>
      </c>
      <c r="B62" s="2889" t="s">
        <v>2956</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2957</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2958</v>
      </c>
      <c r="B64" s="2890" t="s">
        <v>2959</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2960</v>
      </c>
      <c r="B65" s="1727"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2961</v>
      </c>
      <c r="B66" s="1727"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2962</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2966</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2944</v>
      </c>
      <c r="B69" s="1811"/>
      <c r="C69" s="1811" t="s">
        <v>2946</v>
      </c>
      <c r="D69" s="1811" t="s">
        <v>2947</v>
      </c>
      <c r="E69" s="819" t="s">
        <v>2948</v>
      </c>
      <c r="F69" s="2885" t="s">
        <v>2964</v>
      </c>
      <c r="G69" s="1811" t="s">
        <v>754</v>
      </c>
      <c r="H69" s="2886" t="s">
        <v>2950</v>
      </c>
      <c r="I69" s="1811" t="s">
        <v>2951</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4" t="s">
        <v>2967</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2953</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2954</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2968</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2960</v>
      </c>
      <c r="B74" s="1727"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2961</v>
      </c>
      <c r="B75" s="1727"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2958</v>
      </c>
      <c r="B76" s="2890" t="s">
        <v>2959</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2962</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2969</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2970</v>
      </c>
      <c r="B79" s="2881">
        <f>1+E81</f>
        <v>1</v>
      </c>
      <c r="C79" s="814"/>
      <c r="D79" s="814"/>
      <c r="E79" s="815"/>
      <c r="F79" s="2883"/>
      <c r="G79" s="6"/>
      <c r="H79" s="6"/>
      <c r="I79" s="6"/>
      <c r="J79" s="7"/>
      <c r="K79" s="7"/>
      <c r="L79" s="7"/>
      <c r="M79" s="7"/>
      <c r="N79" s="7"/>
      <c r="Z79" s="2726"/>
      <c r="AA79" s="2802"/>
      <c r="AG79" s="1375"/>
      <c r="AK79" s="2802"/>
    </row>
    <row r="80" spans="1:37" ht="24.75">
      <c r="A80" s="2884" t="s">
        <v>2944</v>
      </c>
      <c r="B80" s="1811"/>
      <c r="C80" s="1811" t="s">
        <v>2946</v>
      </c>
      <c r="D80" s="1811" t="s">
        <v>2947</v>
      </c>
      <c r="E80" s="819" t="s">
        <v>2948</v>
      </c>
      <c r="F80" s="2885" t="s">
        <v>2964</v>
      </c>
      <c r="G80" s="1811" t="s">
        <v>754</v>
      </c>
      <c r="H80" s="2886" t="s">
        <v>2950</v>
      </c>
      <c r="I80" s="1811" t="s">
        <v>2951</v>
      </c>
      <c r="J80" s="603" t="s">
        <v>2598</v>
      </c>
      <c r="K80" s="603" t="s">
        <v>2599</v>
      </c>
      <c r="L80" s="603" t="s">
        <v>2600</v>
      </c>
      <c r="M80" s="603" t="s">
        <v>2601</v>
      </c>
      <c r="N80" s="603" t="s">
        <v>2602</v>
      </c>
      <c r="Z80" s="2726"/>
      <c r="AA80" s="2802"/>
      <c r="AG80" s="1375"/>
      <c r="AK80" s="2802"/>
    </row>
    <row r="81" spans="1:37" ht="38.25">
      <c r="A81" s="2884" t="s">
        <v>2971</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2953</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2954</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2968</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2960</v>
      </c>
      <c r="B85" s="1727"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2961</v>
      </c>
      <c r="B86" s="1727"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2958</v>
      </c>
      <c r="B87" s="2890" t="s">
        <v>2972</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2973</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48" t="s">
        <v>2974</v>
      </c>
      <c r="B90" s="3248"/>
      <c r="C90" s="3248"/>
      <c r="D90" s="3248"/>
      <c r="E90" s="3248"/>
      <c r="F90" s="3248"/>
      <c r="G90" s="3248"/>
      <c r="H90" s="3248"/>
      <c r="I90" s="3248"/>
      <c r="J90" s="3248"/>
      <c r="K90" s="2898"/>
      <c r="L90" s="2898"/>
      <c r="M90" s="2898"/>
      <c r="N90" s="2898"/>
    </row>
    <row r="91" spans="1:37">
      <c r="A91" s="3250" t="s">
        <v>2975</v>
      </c>
      <c r="B91" s="3250" t="s">
        <v>2976</v>
      </c>
      <c r="C91" s="2852" t="s">
        <v>2977</v>
      </c>
      <c r="D91" s="2853"/>
      <c r="E91" s="2853"/>
      <c r="F91" s="2853"/>
      <c r="G91" s="2853"/>
      <c r="H91" s="2853"/>
      <c r="I91" s="2853"/>
      <c r="J91" s="2899"/>
      <c r="K91" s="2900"/>
      <c r="L91" s="2900"/>
      <c r="M91" s="2900"/>
      <c r="N91" s="2900"/>
    </row>
    <row r="92" spans="1:37">
      <c r="A92" s="3250"/>
      <c r="B92" s="3250"/>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51" t="s">
        <v>2978</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52"/>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52"/>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52"/>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52"/>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52"/>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52"/>
      <c r="B99" s="2901" t="s">
        <v>2857</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53"/>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51" t="s">
        <v>2979</v>
      </c>
      <c r="B101" s="2905" t="s">
        <v>2980</v>
      </c>
      <c r="C101" s="2906">
        <f>$G$3</f>
        <v>0.66</v>
      </c>
      <c r="D101" s="2906">
        <f t="shared" ref="D101:N101" si="31">$G$3</f>
        <v>0.66</v>
      </c>
      <c r="E101" s="2906">
        <f t="shared" si="31"/>
        <v>0.66</v>
      </c>
      <c r="F101" s="2906">
        <f t="shared" si="31"/>
        <v>0.66</v>
      </c>
      <c r="G101" s="2906">
        <f t="shared" si="31"/>
        <v>0.66</v>
      </c>
      <c r="H101" s="2906">
        <f t="shared" si="31"/>
        <v>0.66</v>
      </c>
      <c r="I101" s="2906">
        <f t="shared" si="31"/>
        <v>0.66</v>
      </c>
      <c r="J101" s="2906">
        <f t="shared" si="31"/>
        <v>0.66</v>
      </c>
      <c r="K101" s="2906">
        <f t="shared" si="31"/>
        <v>0.66</v>
      </c>
      <c r="L101" s="2906">
        <f t="shared" si="31"/>
        <v>0.66</v>
      </c>
      <c r="M101" s="2906">
        <f t="shared" si="31"/>
        <v>0.66</v>
      </c>
      <c r="N101" s="2906">
        <f t="shared" si="31"/>
        <v>0.66</v>
      </c>
    </row>
    <row r="102" spans="1:14">
      <c r="A102" s="3252"/>
      <c r="B102" s="2901">
        <v>1</v>
      </c>
      <c r="C102" s="2902">
        <f>1.9362/C101</f>
        <v>2.9336363636363636</v>
      </c>
      <c r="D102" s="2902">
        <f>1.9362/D101</f>
        <v>2.9336363636363636</v>
      </c>
      <c r="E102" s="2902">
        <f>1.8629/E101</f>
        <v>2.8225757575757573</v>
      </c>
      <c r="F102" s="2902">
        <f>1.8629/F101</f>
        <v>2.8225757575757573</v>
      </c>
      <c r="G102" s="2902">
        <f>1.8629/G101</f>
        <v>2.8225757575757573</v>
      </c>
      <c r="H102" s="2902">
        <f>1.8629/H101</f>
        <v>2.8225757575757573</v>
      </c>
      <c r="I102" s="2902">
        <f>1.8629/I101</f>
        <v>2.8225757575757573</v>
      </c>
      <c r="J102" s="2902">
        <f>1.942/J101</f>
        <v>2.9424242424242424</v>
      </c>
      <c r="K102" s="2902">
        <f>1.942/K101</f>
        <v>2.9424242424242424</v>
      </c>
      <c r="L102" s="2902">
        <f>1.942/L101</f>
        <v>2.9424242424242424</v>
      </c>
      <c r="M102" s="2902">
        <f>1.942/M101</f>
        <v>2.9424242424242424</v>
      </c>
      <c r="N102" s="2902">
        <f>1.942/N101</f>
        <v>2.9424242424242424</v>
      </c>
    </row>
    <row r="103" spans="1:14">
      <c r="A103" s="3252"/>
      <c r="B103" s="2901">
        <v>2</v>
      </c>
      <c r="C103" s="2902">
        <f>1.4198/C101</f>
        <v>2.1512121212121209</v>
      </c>
      <c r="D103" s="2902">
        <f>1.4198/D101</f>
        <v>2.1512121212121209</v>
      </c>
      <c r="E103" s="2902">
        <f>1.3372/E101</f>
        <v>2.0260606060606059</v>
      </c>
      <c r="F103" s="2902">
        <f>1.3372/F101</f>
        <v>2.0260606060606059</v>
      </c>
      <c r="G103" s="2902">
        <f>1.3372/G101</f>
        <v>2.0260606060606059</v>
      </c>
      <c r="H103" s="2902">
        <f>1.3372/H101</f>
        <v>2.0260606060606059</v>
      </c>
      <c r="I103" s="2902">
        <f>1.3372/I101</f>
        <v>2.0260606060606059</v>
      </c>
      <c r="J103" s="2902">
        <f>1.2799/J101</f>
        <v>1.9392424242424242</v>
      </c>
      <c r="K103" s="2902">
        <f>1.2799/K101</f>
        <v>1.9392424242424242</v>
      </c>
      <c r="L103" s="2902">
        <f>1.2799/L101</f>
        <v>1.9392424242424242</v>
      </c>
      <c r="M103" s="2902">
        <f>1.2799/M101</f>
        <v>1.9392424242424242</v>
      </c>
      <c r="N103" s="2902">
        <f>1.2799/N101</f>
        <v>1.9392424242424242</v>
      </c>
    </row>
    <row r="104" spans="1:14">
      <c r="A104" s="3252"/>
      <c r="B104" s="2901">
        <v>3</v>
      </c>
      <c r="C104" s="2902">
        <f>1.1594/C101</f>
        <v>1.7566666666666666</v>
      </c>
      <c r="D104" s="2902">
        <f>1.1594/D101</f>
        <v>1.7566666666666666</v>
      </c>
      <c r="E104" s="2902">
        <f>1.0788/E101</f>
        <v>1.6345454545454545</v>
      </c>
      <c r="F104" s="2902">
        <f>1.0788/F101</f>
        <v>1.6345454545454545</v>
      </c>
      <c r="G104" s="2902">
        <f>1.0788/G101</f>
        <v>1.6345454545454545</v>
      </c>
      <c r="H104" s="2902">
        <f>1.0788/H101</f>
        <v>1.6345454545454545</v>
      </c>
      <c r="I104" s="2902">
        <f>1.0788/I101</f>
        <v>1.6345454545454545</v>
      </c>
      <c r="J104" s="2902">
        <f>1.0072/J101</f>
        <v>1.5260606060606061</v>
      </c>
      <c r="K104" s="2902">
        <f>1.0072/K101</f>
        <v>1.5260606060606061</v>
      </c>
      <c r="L104" s="2902">
        <f>1.0072/L101</f>
        <v>1.5260606060606061</v>
      </c>
      <c r="M104" s="2902">
        <f>1.0072/M101</f>
        <v>1.5260606060606061</v>
      </c>
      <c r="N104" s="2902">
        <f>1.0072/N101</f>
        <v>1.5260606060606061</v>
      </c>
    </row>
    <row r="105" spans="1:14">
      <c r="A105" s="3252"/>
      <c r="B105" s="2901">
        <v>4</v>
      </c>
      <c r="C105" s="2902">
        <f>0.9622/C101</f>
        <v>1.457878787878788</v>
      </c>
      <c r="D105" s="2902">
        <f>0.9622/D101</f>
        <v>1.457878787878788</v>
      </c>
      <c r="E105" s="2902">
        <f>0.8656/E101</f>
        <v>1.3115151515151515</v>
      </c>
      <c r="F105" s="2902">
        <f>0.8656/F101</f>
        <v>1.3115151515151515</v>
      </c>
      <c r="G105" s="2902">
        <f>0.8656/G101</f>
        <v>1.3115151515151515</v>
      </c>
      <c r="H105" s="2902">
        <f>0.8656/H101</f>
        <v>1.3115151515151515</v>
      </c>
      <c r="I105" s="2902">
        <f>0.8656/I101</f>
        <v>1.3115151515151515</v>
      </c>
      <c r="J105" s="2902">
        <f>0.7525/J101</f>
        <v>1.1401515151515149</v>
      </c>
      <c r="K105" s="2902">
        <f>0.7525/K101</f>
        <v>1.1401515151515149</v>
      </c>
      <c r="L105" s="2902">
        <f>0.7525/L101</f>
        <v>1.1401515151515149</v>
      </c>
      <c r="M105" s="2902">
        <f>0.7525/M101</f>
        <v>1.1401515151515149</v>
      </c>
      <c r="N105" s="2902">
        <f>0.7525/N101</f>
        <v>1.1401515151515149</v>
      </c>
    </row>
    <row r="106" spans="1:14">
      <c r="A106" s="3252"/>
      <c r="B106" s="2901">
        <v>5</v>
      </c>
      <c r="C106" s="2902">
        <f>0.8417/C101</f>
        <v>1.2753030303030302</v>
      </c>
      <c r="D106" s="2902">
        <f>0.8417/D101</f>
        <v>1.2753030303030302</v>
      </c>
      <c r="E106" s="2902">
        <f>0.7371/E101</f>
        <v>1.1168181818181817</v>
      </c>
      <c r="F106" s="2902">
        <f>0.7371/F101</f>
        <v>1.1168181818181817</v>
      </c>
      <c r="G106" s="2902">
        <f>0.7371/G101</f>
        <v>1.1168181818181817</v>
      </c>
      <c r="H106" s="2902">
        <f>0.7371/H101</f>
        <v>1.1168181818181817</v>
      </c>
      <c r="I106" s="2902">
        <f>0.7371/I101</f>
        <v>1.1168181818181817</v>
      </c>
      <c r="J106" s="2902">
        <f>0.5659/J101</f>
        <v>0.85742424242424231</v>
      </c>
      <c r="K106" s="2902">
        <f>0.5659/K101</f>
        <v>0.85742424242424231</v>
      </c>
      <c r="L106" s="2902">
        <f>0.5659/L101</f>
        <v>0.85742424242424231</v>
      </c>
      <c r="M106" s="2902">
        <f>0.5659/M101</f>
        <v>0.85742424242424231</v>
      </c>
      <c r="N106" s="2902">
        <f>0.5659/N101</f>
        <v>0.85742424242424231</v>
      </c>
    </row>
    <row r="107" spans="1:14">
      <c r="A107" s="3252"/>
      <c r="B107" s="2901">
        <v>6</v>
      </c>
      <c r="C107" s="2902">
        <f>0.7608/C101</f>
        <v>1.1527272727272728</v>
      </c>
      <c r="D107" s="2902">
        <f>0.7608/D101</f>
        <v>1.1527272727272728</v>
      </c>
      <c r="E107" s="2902">
        <f>0.6482/E101</f>
        <v>0.98212121212121206</v>
      </c>
      <c r="F107" s="2902">
        <f>0.6482/F101</f>
        <v>0.98212121212121206</v>
      </c>
      <c r="G107" s="2902">
        <f>0.6482/G101</f>
        <v>0.98212121212121206</v>
      </c>
      <c r="H107" s="2902">
        <f>0.6482/H101</f>
        <v>0.98212121212121206</v>
      </c>
      <c r="I107" s="2902">
        <f>0.6482/I101</f>
        <v>0.98212121212121206</v>
      </c>
      <c r="J107" s="2902">
        <f>0.4525/J101</f>
        <v>0.68560606060606055</v>
      </c>
      <c r="K107" s="2902">
        <f>0.4525/K101</f>
        <v>0.68560606060606055</v>
      </c>
      <c r="L107" s="2902">
        <f>0.4525/L101</f>
        <v>0.68560606060606055</v>
      </c>
      <c r="M107" s="2902">
        <f>0.4525/M101</f>
        <v>0.68560606060606055</v>
      </c>
      <c r="N107" s="2902">
        <f>0.4525/N101</f>
        <v>0.68560606060606055</v>
      </c>
    </row>
    <row r="108" spans="1:14">
      <c r="A108" s="3252"/>
      <c r="B108" s="3080" t="s">
        <v>2981</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53"/>
      <c r="B109" s="3081"/>
      <c r="C109" s="2904">
        <f>(-0.163*(C108^2)-0.59*C108+7617)*(10^(-4))/C101</f>
        <v>1.1540909090909091</v>
      </c>
      <c r="D109" s="2904">
        <f>(-0.163*(D108^2)-0.59*D108+7617)*(10^(-4))/D101</f>
        <v>1.1540909090909091</v>
      </c>
      <c r="E109" s="2904">
        <f>(-0.161*(E108^2)-7.509*E108+6533)*(10^(-4))/E101</f>
        <v>0.98984848484848476</v>
      </c>
      <c r="F109" s="2904">
        <f>(-0.161*(F108^2)-7.509*F108+6533)*(10^(-4))/F101</f>
        <v>0.98984848484848476</v>
      </c>
      <c r="G109" s="2904">
        <f>(-0.161*(G108^2)-7.509*G108+6533)*(10^(-4))/G101</f>
        <v>0.98984848484848476</v>
      </c>
      <c r="H109" s="2904">
        <f>(-0.161*(H108^2)-7.509*H108+6533)*(10^(-4))/H101</f>
        <v>0.98984848484848476</v>
      </c>
      <c r="I109" s="2904">
        <f>(-0.161*(I108^2)-7.509*I108+6533)*(10^(-4))/I101</f>
        <v>0.98984848484848476</v>
      </c>
      <c r="J109" s="2904">
        <f>(-0.214*(J108^2)-21.991*J108+4665)*(10^(-4))/J101</f>
        <v>0.70681818181818179</v>
      </c>
      <c r="K109" s="2904">
        <f>(-0.214*(K108^2)-21.991*K108+4665)*(10^(-4))/K101</f>
        <v>0.70681818181818179</v>
      </c>
      <c r="L109" s="2904">
        <f>(-0.214*(L108^2)-21.991*L108+4665)*(10^(-4))/L101</f>
        <v>0.70681818181818179</v>
      </c>
      <c r="M109" s="2904">
        <f>(-0.214*(M108^2)-21.991*M108+4665)*(10^(-4))/M101</f>
        <v>0.70681818181818179</v>
      </c>
      <c r="N109" s="2904">
        <f>(-0.214*(N108^2)-21.991*N108+4665)*(10^(-4))/N101</f>
        <v>0.70681818181818179</v>
      </c>
    </row>
    <row r="110" spans="1:14">
      <c r="A110" s="3249" t="s">
        <v>2982</v>
      </c>
      <c r="B110" s="3249"/>
      <c r="C110" s="3249"/>
      <c r="D110" s="3249"/>
      <c r="E110" s="3249"/>
      <c r="F110" s="3249"/>
      <c r="G110" s="3249"/>
      <c r="H110" s="3249"/>
      <c r="I110" s="3249"/>
      <c r="J110" s="3249"/>
      <c r="K110" s="2907"/>
      <c r="L110" s="2907"/>
      <c r="M110" s="2907"/>
      <c r="N110" s="2907"/>
    </row>
    <row r="112" spans="1:14" ht="13.5" thickBot="1"/>
    <row r="113" spans="1:13" ht="25.5" thickBot="1">
      <c r="A113" s="903" t="s">
        <v>2983</v>
      </c>
      <c r="B113" s="1290">
        <f>G3</f>
        <v>0.66</v>
      </c>
      <c r="C113" s="904" t="s">
        <v>2984</v>
      </c>
      <c r="D113" s="905">
        <f>SUMPRODUCT((A115:A118=F113)*(B114:M114=H113)*B115:M118)</f>
        <v>0</v>
      </c>
      <c r="E113" s="2730" t="s">
        <v>2814</v>
      </c>
      <c r="F113" s="2909">
        <f>E2</f>
        <v>0</v>
      </c>
      <c r="G113" s="2730" t="s">
        <v>2815</v>
      </c>
      <c r="H113" s="2909">
        <f>G2</f>
        <v>0</v>
      </c>
      <c r="I113" s="2730"/>
      <c r="J113" s="2910"/>
      <c r="K113" s="2910"/>
      <c r="L113" s="2910"/>
      <c r="M113" s="2910"/>
    </row>
    <row r="114" spans="1:13">
      <c r="A114" s="908"/>
      <c r="B114" s="2911" t="s">
        <v>2985</v>
      </c>
      <c r="C114" s="2911" t="s">
        <v>2986</v>
      </c>
      <c r="D114" s="2911" t="s">
        <v>2987</v>
      </c>
      <c r="E114" s="2912" t="s">
        <v>2988</v>
      </c>
      <c r="F114" s="2912" t="s">
        <v>2989</v>
      </c>
      <c r="G114" s="2912" t="s">
        <v>2990</v>
      </c>
      <c r="H114" s="2913" t="s">
        <v>2991</v>
      </c>
      <c r="I114" s="2913" t="s">
        <v>2992</v>
      </c>
      <c r="J114" s="2914" t="s">
        <v>2993</v>
      </c>
      <c r="K114" s="2914" t="s">
        <v>2994</v>
      </c>
      <c r="L114" s="2914" t="s">
        <v>2995</v>
      </c>
      <c r="M114" s="2915" t="s">
        <v>2996</v>
      </c>
    </row>
    <row r="115" spans="1:13">
      <c r="A115" s="909" t="s">
        <v>2879</v>
      </c>
      <c r="B115" s="910">
        <f>ROUND(0.9335-0.0094*B113,4)</f>
        <v>0.92730000000000001</v>
      </c>
      <c r="C115" s="910">
        <f>B115</f>
        <v>0.92730000000000001</v>
      </c>
      <c r="D115" s="910">
        <f>ROUND(0.8331-0.0109*B113,4)</f>
        <v>0.82589999999999997</v>
      </c>
      <c r="E115" s="910">
        <f>D115</f>
        <v>0.82589999999999997</v>
      </c>
      <c r="F115" s="910">
        <f>E115</f>
        <v>0.82589999999999997</v>
      </c>
      <c r="G115" s="910">
        <f>F115</f>
        <v>0.82589999999999997</v>
      </c>
      <c r="H115" s="910">
        <f>G115</f>
        <v>0.82589999999999997</v>
      </c>
      <c r="I115" s="910">
        <f>ROUND(0.689-0.0155*B113,4)</f>
        <v>0.67879999999999996</v>
      </c>
      <c r="J115" s="910">
        <f t="shared" ref="J115:M118" si="33">I115</f>
        <v>0.67879999999999996</v>
      </c>
      <c r="K115" s="910">
        <f t="shared" si="33"/>
        <v>0.67879999999999996</v>
      </c>
      <c r="L115" s="910">
        <f t="shared" si="33"/>
        <v>0.67879999999999996</v>
      </c>
      <c r="M115" s="911">
        <f t="shared" si="33"/>
        <v>0.67879999999999996</v>
      </c>
    </row>
    <row r="116" spans="1:13">
      <c r="A116" s="909" t="s">
        <v>2880</v>
      </c>
      <c r="B116" s="910">
        <f>ROUND(0.949-0.012*B113,4)</f>
        <v>0.94110000000000005</v>
      </c>
      <c r="C116" s="910">
        <f>B116</f>
        <v>0.94110000000000005</v>
      </c>
      <c r="D116" s="910">
        <f>ROUND(0.8567-0.013*B113,4)</f>
        <v>0.84809999999999997</v>
      </c>
      <c r="E116" s="910">
        <f t="shared" ref="E116:H117" si="34">D116</f>
        <v>0.84809999999999997</v>
      </c>
      <c r="F116" s="910">
        <f t="shared" si="34"/>
        <v>0.84809999999999997</v>
      </c>
      <c r="G116" s="910">
        <f t="shared" si="34"/>
        <v>0.84809999999999997</v>
      </c>
      <c r="H116" s="910">
        <f t="shared" si="34"/>
        <v>0.84809999999999997</v>
      </c>
      <c r="I116" s="910">
        <f>ROUND(0.7694-0.014*B113,4)</f>
        <v>0.76019999999999999</v>
      </c>
      <c r="J116" s="910">
        <f t="shared" si="33"/>
        <v>0.76019999999999999</v>
      </c>
      <c r="K116" s="910">
        <f t="shared" si="33"/>
        <v>0.76019999999999999</v>
      </c>
      <c r="L116" s="910">
        <f t="shared" si="33"/>
        <v>0.76019999999999999</v>
      </c>
      <c r="M116" s="911">
        <f t="shared" si="33"/>
        <v>0.76019999999999999</v>
      </c>
    </row>
    <row r="117" spans="1:13">
      <c r="A117" s="909" t="s">
        <v>2881</v>
      </c>
      <c r="B117" s="910">
        <f>ROUND(0.8808-0.006*B113,4)</f>
        <v>0.87680000000000002</v>
      </c>
      <c r="C117" s="910">
        <f>B117</f>
        <v>0.87680000000000002</v>
      </c>
      <c r="D117" s="910">
        <f>ROUND(0.8748-0.008*B113,4)</f>
        <v>0.86950000000000005</v>
      </c>
      <c r="E117" s="910">
        <f t="shared" si="34"/>
        <v>0.86950000000000005</v>
      </c>
      <c r="F117" s="910">
        <f t="shared" si="34"/>
        <v>0.86950000000000005</v>
      </c>
      <c r="G117" s="910">
        <f t="shared" si="34"/>
        <v>0.86950000000000005</v>
      </c>
      <c r="H117" s="910">
        <f t="shared" si="34"/>
        <v>0.86950000000000005</v>
      </c>
      <c r="I117" s="910">
        <f>ROUND(0.7412-0.0095*B113,4)</f>
        <v>0.7349</v>
      </c>
      <c r="J117" s="910">
        <f t="shared" si="33"/>
        <v>0.7349</v>
      </c>
      <c r="K117" s="910">
        <f t="shared" si="33"/>
        <v>0.7349</v>
      </c>
      <c r="L117" s="910">
        <f t="shared" si="33"/>
        <v>0.7349</v>
      </c>
      <c r="M117" s="911">
        <f t="shared" si="33"/>
        <v>0.7349</v>
      </c>
    </row>
    <row r="118" spans="1:13" ht="13.5" thickBot="1">
      <c r="A118" s="714" t="s">
        <v>2882</v>
      </c>
      <c r="B118" s="912">
        <f>ROUND(0.7275-0.01*B113,4)</f>
        <v>0.72089999999999999</v>
      </c>
      <c r="C118" s="912">
        <f>B118</f>
        <v>0.72089999999999999</v>
      </c>
      <c r="D118" s="912">
        <f>ROUND(0.7043-0.012*B113,4)</f>
        <v>0.69640000000000002</v>
      </c>
      <c r="E118" s="912">
        <f>D118</f>
        <v>0.69640000000000002</v>
      </c>
      <c r="F118" s="912">
        <f>E118</f>
        <v>0.69640000000000002</v>
      </c>
      <c r="G118" s="912">
        <f>ROUND(0.6299-0.0122*B113,4)</f>
        <v>0.62180000000000002</v>
      </c>
      <c r="H118" s="912">
        <f>G118</f>
        <v>0.62180000000000002</v>
      </c>
      <c r="I118" s="912">
        <f>ROUND(0.5667-0.0136*B113,4)</f>
        <v>0.55769999999999997</v>
      </c>
      <c r="J118" s="912">
        <f t="shared" si="33"/>
        <v>0.55769999999999997</v>
      </c>
      <c r="K118" s="912">
        <f t="shared" si="33"/>
        <v>0.55769999999999997</v>
      </c>
      <c r="L118" s="912">
        <f t="shared" si="33"/>
        <v>0.55769999999999997</v>
      </c>
      <c r="M118" s="913">
        <f t="shared" si="33"/>
        <v>0.55769999999999997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E13"/>
  <sheetViews>
    <sheetView workbookViewId="0">
      <selection sqref="A1:XFD104857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3005</v>
      </c>
    </row>
    <row r="2" spans="1:5" ht="15.75">
      <c r="A2" s="2916" t="s">
        <v>2997</v>
      </c>
      <c r="B2" s="2917" t="e">
        <f ca="1">SUMIF(B6:B13,"&lt;&gt;#ref!",B6:B13)</f>
        <v>#DIV/0!</v>
      </c>
      <c r="C2" s="2916" t="s">
        <v>2998</v>
      </c>
      <c r="D2" s="2916" t="s">
        <v>2999</v>
      </c>
      <c r="E2" s="2917">
        <f ca="1">SUMIF(E6:E13,"&lt;&gt;#ref!",E6:E13)</f>
        <v>0</v>
      </c>
    </row>
    <row r="3" spans="1:5" ht="15.75">
      <c r="A3" s="2916" t="s">
        <v>3000</v>
      </c>
      <c r="B3" s="2917" t="e">
        <f ca="1">ROUND(B2*10000/E2,0)</f>
        <v>#DIV/0!</v>
      </c>
      <c r="C3" s="2916" t="s">
        <v>3006</v>
      </c>
      <c r="D3" s="2918"/>
      <c r="E3" s="2918"/>
    </row>
    <row r="4" spans="1:5" ht="15.75">
      <c r="A4" s="2919"/>
      <c r="B4" s="2918"/>
      <c r="C4" s="2918"/>
      <c r="D4" s="2918"/>
      <c r="E4" s="2918"/>
    </row>
    <row r="5" spans="1:5" ht="28.5">
      <c r="A5" s="2920" t="s">
        <v>3001</v>
      </c>
      <c r="B5" s="2916" t="s">
        <v>3002</v>
      </c>
      <c r="C5" s="2917"/>
      <c r="D5" s="2918"/>
      <c r="E5" s="2916" t="s">
        <v>3003</v>
      </c>
    </row>
    <row r="6" spans="1:5" ht="15.75">
      <c r="A6" s="2921" t="s">
        <v>3004</v>
      </c>
      <c r="B6" s="2917" t="e">
        <f ca="1">SUMIF(INDIRECT("'"&amp;A6&amp;"'"&amp;"!A:A"),"总价",INDIRECT("'"&amp;A6&amp;"'"&amp;"!B:B"))</f>
        <v>#DIV/0!</v>
      </c>
      <c r="C6" s="2916" t="s">
        <v>2998</v>
      </c>
      <c r="D6" s="2918"/>
      <c r="E6" s="2581">
        <f ca="1">SUMIF(INDIRECT("'"&amp;A6&amp;"'"&amp;"!C:C"),"建筑面积",INDIRECT("'"&amp;A6&amp;"'"&amp;"!D:D"))</f>
        <v>0</v>
      </c>
    </row>
    <row r="7" spans="1:5" ht="15.75">
      <c r="A7" s="2921"/>
      <c r="B7" s="2917" t="e">
        <f ca="1">SUMIF(INDIRECT("'"&amp;A7&amp;"'"&amp;"!A:A"),"总价",INDIRECT("'"&amp;A7&amp;"'"&amp;"!B:B"))</f>
        <v>#REF!</v>
      </c>
      <c r="C7" s="2916" t="s">
        <v>2998</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2998</v>
      </c>
      <c r="D8" s="2918"/>
      <c r="E8" s="2581" t="e">
        <f t="shared" ca="1" si="0"/>
        <v>#REF!</v>
      </c>
    </row>
    <row r="9" spans="1:5" ht="15.75">
      <c r="A9" s="2921"/>
      <c r="B9" s="2917" t="e">
        <f t="shared" ca="1" si="1"/>
        <v>#REF!</v>
      </c>
      <c r="C9" s="2916" t="s">
        <v>2998</v>
      </c>
      <c r="D9" s="2918"/>
      <c r="E9" s="2581" t="e">
        <f t="shared" ca="1" si="0"/>
        <v>#REF!</v>
      </c>
    </row>
    <row r="10" spans="1:5" ht="15.75">
      <c r="A10" s="2921"/>
      <c r="B10" s="2917" t="e">
        <f t="shared" ca="1" si="1"/>
        <v>#REF!</v>
      </c>
      <c r="C10" s="2916" t="s">
        <v>2998</v>
      </c>
      <c r="D10" s="2918"/>
      <c r="E10" s="2581" t="e">
        <f t="shared" ca="1" si="0"/>
        <v>#REF!</v>
      </c>
    </row>
    <row r="11" spans="1:5" ht="15.75">
      <c r="A11" s="2921"/>
      <c r="B11" s="2917" t="e">
        <f t="shared" ca="1" si="1"/>
        <v>#REF!</v>
      </c>
      <c r="C11" s="2916" t="s">
        <v>2998</v>
      </c>
      <c r="D11" s="2918"/>
      <c r="E11" s="2581" t="e">
        <f t="shared" ca="1" si="0"/>
        <v>#REF!</v>
      </c>
    </row>
    <row r="12" spans="1:5" ht="15.75">
      <c r="A12" s="2921"/>
      <c r="B12" s="2917" t="e">
        <f t="shared" ca="1" si="1"/>
        <v>#REF!</v>
      </c>
      <c r="C12" s="2916" t="s">
        <v>2998</v>
      </c>
      <c r="D12" s="2918"/>
      <c r="E12" s="2581" t="e">
        <f t="shared" ca="1" si="0"/>
        <v>#REF!</v>
      </c>
    </row>
    <row r="13" spans="1:5" ht="15.75">
      <c r="A13" s="2921"/>
      <c r="B13" s="2917" t="e">
        <f t="shared" ca="1" si="1"/>
        <v>#REF!</v>
      </c>
      <c r="C13" s="2916" t="s">
        <v>2998</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18">
      <c r="A4" s="1950" t="str">
        <f>"受贵公司委托，我公司对"&amp;项目基本情况!S1&amp;"进行了预评估。"</f>
        <v>受贵公司委托，我公司对房地产市场价值进行了预评估。</v>
      </c>
    </row>
    <row r="5" spans="1:1" ht="18.75">
      <c r="A5" s="1951" t="s">
        <v>1612</v>
      </c>
    </row>
    <row r="6" spans="1:1" ht="18.75">
      <c r="A6" s="1952" t="s">
        <v>1613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估价对象为房地产，为所有。根据《国有土地使用证》[]，估价对象（分摊）出让国有建设用地使用权面积为24812平方米，建筑面积为16471.48平方米。</v>
      </c>
    </row>
    <row r="8" spans="1:1" ht="57.75">
      <c r="A8" s="1953" t="s">
        <v>1614</v>
      </c>
    </row>
    <row r="9" spans="1:1" ht="18.75">
      <c r="A9" s="1952" t="s">
        <v>1615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估价对象为房地产,属开发建设的，该项目尚在开发建设中。根据《国有土地使用证》[]，估价对象（分摊）出让国有建设用地使用权面积为24812平方米，规划建筑面积为16471.48平方米。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1618</v>
      </c>
    </row>
    <row r="15" spans="1:1" ht="18">
      <c r="A15" s="1956" t="str">
        <f>TEXT(项目基本情况!D3,"yyyy年m月d日;;")&amp;IF(项目基本情况!D3=项目基本情况!B3,"（评估专业人员实地查勘之日）","")</f>
        <v>2018年11月12日（评估专业人员实地查勘之日）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12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2" t="s">
        <v>1150</v>
      </c>
      <c r="C1" s="3272"/>
      <c r="D1" s="3272"/>
      <c r="E1" s="3272"/>
      <c r="F1" s="3272"/>
      <c r="G1" s="3268" t="s">
        <v>1151</v>
      </c>
      <c r="H1" s="3268"/>
      <c r="I1" s="3268"/>
      <c r="J1" s="3268"/>
      <c r="K1" s="3268"/>
      <c r="L1" s="3268"/>
      <c r="N1" s="3268" t="s">
        <v>1152</v>
      </c>
      <c r="O1" s="3268"/>
      <c r="P1" s="3268"/>
      <c r="Q1" s="3268"/>
      <c r="R1" s="1449"/>
      <c r="S1" s="3268" t="s">
        <v>1153</v>
      </c>
      <c r="T1" s="3268"/>
      <c r="U1" s="3268"/>
      <c r="V1" s="3268"/>
      <c r="X1" s="3267" t="s">
        <v>1154</v>
      </c>
      <c r="Y1" s="3268"/>
      <c r="Z1" s="3268"/>
      <c r="AA1" s="3268"/>
      <c r="AB1" s="3268"/>
      <c r="AD1" s="3267" t="s">
        <v>1155</v>
      </c>
      <c r="AE1" s="3268"/>
      <c r="AF1" s="3268"/>
      <c r="AG1" s="3268"/>
      <c r="AH1" s="326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3040</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3047</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7">
        <v>2018</v>
      </c>
      <c r="H5" s="1732">
        <v>3</v>
      </c>
      <c r="I5" s="2930">
        <v>0</v>
      </c>
      <c r="J5" s="2930">
        <v>0</v>
      </c>
      <c r="K5" s="2930">
        <v>0</v>
      </c>
      <c r="L5" s="2930">
        <v>0</v>
      </c>
      <c r="N5" s="1470">
        <f>I5/100</f>
        <v>0</v>
      </c>
      <c r="O5" s="1470">
        <f t="shared" ref="O5" si="7">J5/100</f>
        <v>0</v>
      </c>
      <c r="P5" s="1470">
        <f t="shared" ref="P5" si="8">K5/100</f>
        <v>0</v>
      </c>
      <c r="Q5" s="1470">
        <f t="shared" ref="Q5" si="9">L5/100</f>
        <v>0</v>
      </c>
      <c r="R5" s="1734"/>
      <c r="S5" s="1735"/>
      <c r="T5" s="1734"/>
      <c r="U5" s="1734"/>
      <c r="V5" s="1734"/>
      <c r="W5" s="2934" t="s">
        <v>3041</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3048</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3039</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3036</v>
      </c>
      <c r="B8" s="1472">
        <v>439</v>
      </c>
      <c r="C8" s="1472">
        <v>327</v>
      </c>
      <c r="D8" s="1472">
        <f>C8</f>
        <v>327</v>
      </c>
      <c r="E8" s="1472">
        <v>627</v>
      </c>
      <c r="F8" s="1473">
        <v>283</v>
      </c>
      <c r="G8" s="293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3037</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73">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0"/>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0"/>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1"/>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69">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0"/>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0"/>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1"/>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69">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0"/>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0"/>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1"/>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54"/>
        <v>252</v>
      </c>
      <c r="E24" s="1472">
        <v>409</v>
      </c>
      <c r="F24" s="1473">
        <v>227</v>
      </c>
      <c r="G24" s="3274">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5"/>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5"/>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76"/>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69">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0"/>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0"/>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71"/>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69">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0">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0">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1">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69">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0">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0">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1">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69">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0">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0">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1">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69">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0">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0">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1">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69">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0">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0">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1">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69">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0">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0">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1">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69">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0">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0">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1">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69">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0">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0">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1">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69">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0">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0">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71">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69">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0">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0">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71">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278" t="s">
        <v>3008</v>
      </c>
      <c r="D1" s="3279"/>
      <c r="E1" s="3279"/>
      <c r="F1" s="3279"/>
      <c r="G1" s="3279"/>
      <c r="H1" s="3279"/>
      <c r="I1" s="3279"/>
      <c r="J1" s="3279"/>
      <c r="K1" s="3279"/>
      <c r="L1" s="3279"/>
      <c r="M1" s="3279"/>
      <c r="N1" s="3279"/>
      <c r="O1" s="3279"/>
      <c r="P1" s="3279"/>
      <c r="Q1" s="3279"/>
      <c r="R1" s="3279"/>
      <c r="S1" s="3280"/>
      <c r="T1" s="1207" t="s">
        <v>3009</v>
      </c>
    </row>
    <row r="2" spans="1:45" s="707" customFormat="1">
      <c r="A2" s="1208"/>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3011</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3012</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3013</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3017</v>
      </c>
      <c r="B17" s="2923"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3019</v>
      </c>
      <c r="E19" s="1794"/>
      <c r="F19" s="1794"/>
      <c r="G19" s="1794"/>
      <c r="H19" s="1283"/>
      <c r="I19" s="168"/>
      <c r="J19" s="168"/>
      <c r="K19" s="168"/>
      <c r="L19" s="168"/>
      <c r="M19" s="168"/>
      <c r="N19" s="168"/>
      <c r="O19" s="168"/>
      <c r="P19" s="168"/>
      <c r="Q19" s="168"/>
      <c r="R19" s="788"/>
      <c r="S19" s="138"/>
    </row>
    <row r="20" spans="1:45" ht="16.5" thickBot="1">
      <c r="A20" s="715" t="s">
        <v>3020</v>
      </c>
      <c r="B20" s="338" t="e">
        <f ca="1">IF(D20="——",S22,S22-F20)</f>
        <v>#REF!</v>
      </c>
      <c r="C20" s="168"/>
      <c r="D20" s="2925" t="s">
        <v>3021</v>
      </c>
      <c r="E20" s="1795"/>
      <c r="F20" s="1207" t="e">
        <f ca="1">SUMIF(INDIRECT("'"&amp;H20&amp;"'"&amp;"!A:A"),"承租人权益价值",INDIRECT("'"&amp;H20&amp;"'"&amp;"!c:c"))</f>
        <v>#REF!</v>
      </c>
      <c r="G20" s="1207" t="s">
        <v>3022</v>
      </c>
      <c r="H20" s="2926"/>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061" t="s">
        <v>33</v>
      </c>
      <c r="D22" s="3062"/>
      <c r="E22" s="3062"/>
      <c r="F22" s="3062"/>
      <c r="G22" s="3062"/>
      <c r="H22" s="3062"/>
      <c r="I22" s="3062"/>
      <c r="J22" s="3062"/>
      <c r="K22" s="3062"/>
      <c r="L22" s="3062"/>
      <c r="M22" s="3062"/>
      <c r="N22" s="3062"/>
      <c r="O22" s="3062"/>
      <c r="P22" s="3062"/>
      <c r="Q22" s="3277"/>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38273</v>
      </c>
      <c r="C2" s="2" t="s">
        <v>133</v>
      </c>
      <c r="D2" s="243"/>
      <c r="E2" s="243"/>
      <c r="F2" s="243"/>
      <c r="G2" s="243"/>
    </row>
    <row r="3" spans="1:7" s="244" customFormat="1" ht="18" customHeight="1" thickBot="1">
      <c r="A3" s="247" t="s">
        <v>85</v>
      </c>
      <c r="B3" s="248">
        <f ca="1">ROUND(B2*10000/'数据-汇总表'!E3,0)</f>
        <v>23236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16471.48</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329</v>
      </c>
      <c r="D19" s="1039">
        <f>'数据-汇总表'!E3</f>
        <v>16471.48</v>
      </c>
      <c r="E19" s="255">
        <f>'数据-取费表'!B31</f>
        <v>200</v>
      </c>
      <c r="F19" s="275"/>
      <c r="G19" s="1" t="s">
        <v>1074</v>
      </c>
    </row>
    <row r="20" spans="1:7" s="258" customFormat="1" ht="13.5" customHeight="1">
      <c r="A20" s="951" t="s">
        <v>1057</v>
      </c>
      <c r="B20" s="254" t="s">
        <v>104</v>
      </c>
      <c r="C20" s="276">
        <f>ROUND((C5+C19)*F20,0)</f>
        <v>628</v>
      </c>
      <c r="D20" s="276"/>
      <c r="E20" s="276"/>
      <c r="F20" s="277">
        <f>'数据-取费表'!B37</f>
        <v>0.03</v>
      </c>
      <c r="G20" s="1292" t="s">
        <v>1068</v>
      </c>
    </row>
    <row r="21" spans="1:7" s="258" customFormat="1" ht="13.5" customHeight="1">
      <c r="A21" s="951" t="s">
        <v>1059</v>
      </c>
      <c r="B21" s="254" t="s">
        <v>105</v>
      </c>
      <c r="C21" s="279">
        <f>F21</f>
        <v>0.05</v>
      </c>
      <c r="D21" s="280" t="s">
        <v>126</v>
      </c>
      <c r="E21" s="276"/>
      <c r="F21" s="277">
        <f>'数据-取费表'!B38</f>
        <v>0.05</v>
      </c>
      <c r="G21" s="278" t="s">
        <v>106</v>
      </c>
    </row>
    <row r="22" spans="1:7" s="258" customFormat="1" ht="13.5" customHeight="1">
      <c r="A22" s="951" t="s">
        <v>786</v>
      </c>
      <c r="B22" s="254" t="s">
        <v>107</v>
      </c>
      <c r="C22" s="1357">
        <f ca="1">ROUND(SUM(C23:C25),0)</f>
        <v>2066</v>
      </c>
      <c r="D22" s="279">
        <f ca="1">C26</f>
        <v>2.3999999999999998E-3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32</v>
      </c>
      <c r="D24" s="282"/>
      <c r="E24" s="282"/>
      <c r="F24" s="283"/>
      <c r="G24" s="284" t="s">
        <v>109</v>
      </c>
    </row>
    <row r="25" spans="1:7" s="258" customFormat="1" ht="24">
      <c r="A25" s="954" t="s">
        <v>793</v>
      </c>
      <c r="B25" s="259" t="s">
        <v>1058</v>
      </c>
      <c r="C25" s="1358">
        <f ca="1">ROUND(IF('数据-取费表'!B22&lt;=1,C20*F22*'数据-取费表'!B23/2,C20*(POWER((1+F22),'数据-取费表'!B23/2)-1)),0)</f>
        <v>30</v>
      </c>
      <c r="D25" s="282"/>
      <c r="E25" s="285"/>
      <c r="F25" s="283"/>
      <c r="G25" s="286" t="s">
        <v>110</v>
      </c>
    </row>
    <row r="26" spans="1:7" s="258" customFormat="1">
      <c r="A26" s="954" t="s">
        <v>795</v>
      </c>
      <c r="B26" s="259" t="s">
        <v>1060</v>
      </c>
      <c r="C26" s="282">
        <f ca="1">ROUND(IF('数据-取费表'!B22&lt;=1,F21*F22*'数据-取费表'!B23/2,F21*(POWER((1+F22),'数据-取费表'!B23/2)-1)),4)</f>
        <v>2.3999999999999998E-3</v>
      </c>
      <c r="D26" s="282"/>
      <c r="E26" s="285"/>
      <c r="F26" s="283"/>
      <c r="G26" s="287"/>
    </row>
    <row r="27" spans="1:7" s="258" customFormat="1" ht="24.75">
      <c r="A27" s="951" t="s">
        <v>787</v>
      </c>
      <c r="B27" s="288" t="s">
        <v>112</v>
      </c>
      <c r="C27" s="289">
        <f>C28</f>
        <v>1294</v>
      </c>
      <c r="D27" s="279">
        <f>C29</f>
        <v>3.0000000000000001E-3</v>
      </c>
      <c r="E27" s="280" t="s">
        <v>126</v>
      </c>
      <c r="F27" s="290">
        <f>'数据-取费表'!Q16</f>
        <v>0.06</v>
      </c>
      <c r="G27" s="291" t="s">
        <v>1069</v>
      </c>
    </row>
    <row r="28" spans="1:7" s="258" customFormat="1" ht="13.5" customHeight="1">
      <c r="A28" s="954" t="s">
        <v>794</v>
      </c>
      <c r="B28" s="292" t="s">
        <v>1062</v>
      </c>
      <c r="C28" s="293">
        <f>ROUND((C5+C19+C20)*F27*'数据-取费表'!B21/'数据-取费表'!B20,0)</f>
        <v>1294</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27968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8216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7406</v>
      </c>
      <c r="D34" s="261"/>
      <c r="E34" s="264"/>
      <c r="F34" s="301">
        <f>IF('数据-取费表'!B24=0,1,'数据-取费表'!N16)</f>
        <v>1</v>
      </c>
      <c r="G34" s="263" t="s">
        <v>116</v>
      </c>
    </row>
    <row r="35" spans="1:7" ht="13.5" customHeight="1">
      <c r="A35" s="954" t="s">
        <v>796</v>
      </c>
      <c r="B35" s="259" t="s">
        <v>60</v>
      </c>
      <c r="C35" s="264">
        <f>ROUND(C34*F35,0)</f>
        <v>370</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329</v>
      </c>
      <c r="D37" s="261">
        <f>'数据-汇总表'!E3</f>
        <v>16471.48</v>
      </c>
      <c r="E37" s="293">
        <f>'数据-取费表'!B35</f>
        <v>200</v>
      </c>
      <c r="F37" s="303"/>
      <c r="G37" s="305" t="s">
        <v>119</v>
      </c>
    </row>
    <row r="38" spans="1:7" ht="13.5" customHeight="1">
      <c r="A38" s="954" t="s">
        <v>799</v>
      </c>
      <c r="B38" s="259" t="s">
        <v>63</v>
      </c>
      <c r="C38" s="264">
        <f>ROUND(C34*F38,0)</f>
        <v>111</v>
      </c>
      <c r="D38" s="264"/>
      <c r="E38" s="264"/>
      <c r="F38" s="303">
        <f>'数据-取费表'!B36</f>
        <v>1.4999999999999999E-2</v>
      </c>
      <c r="G38" s="263" t="s">
        <v>117</v>
      </c>
    </row>
    <row r="39" spans="1:7" s="258" customFormat="1" ht="13.5" customHeight="1">
      <c r="A39" s="951" t="s">
        <v>783</v>
      </c>
      <c r="B39" s="254" t="s">
        <v>104</v>
      </c>
      <c r="C39" s="276">
        <f>ROUND(C33*F20,0)</f>
        <v>246</v>
      </c>
      <c r="D39" s="276"/>
      <c r="E39" s="276"/>
      <c r="F39" s="277"/>
      <c r="G39" s="1292" t="s">
        <v>1071</v>
      </c>
    </row>
    <row r="40" spans="1:7" s="258" customFormat="1" ht="13.5" customHeight="1">
      <c r="A40" s="951" t="s">
        <v>784</v>
      </c>
      <c r="B40" s="254" t="s">
        <v>105</v>
      </c>
      <c r="C40" s="306">
        <f>F21</f>
        <v>0.05</v>
      </c>
      <c r="D40" s="280" t="s">
        <v>129</v>
      </c>
      <c r="E40" s="276"/>
      <c r="F40" s="277"/>
      <c r="G40" s="278" t="s">
        <v>120</v>
      </c>
    </row>
    <row r="41" spans="1:7" s="258" customFormat="1" ht="13.5" customHeight="1">
      <c r="A41" s="951" t="s">
        <v>785</v>
      </c>
      <c r="B41" s="254" t="s">
        <v>107</v>
      </c>
      <c r="C41" s="276">
        <f ca="1">ROUND(SUM(C42:C43),0)</f>
        <v>402</v>
      </c>
      <c r="D41" s="279">
        <f ca="1">C44</f>
        <v>2.3999999999999998E-3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390</v>
      </c>
      <c r="D42" s="282"/>
      <c r="E42" s="282"/>
      <c r="F42" s="283"/>
      <c r="G42" s="3146" t="s">
        <v>121</v>
      </c>
    </row>
    <row r="43" spans="1:7" ht="13.5" customHeight="1">
      <c r="A43" s="954" t="s">
        <v>792</v>
      </c>
      <c r="B43" s="259" t="s">
        <v>1064</v>
      </c>
      <c r="C43" s="282">
        <f ca="1">ROUND(IF('数据-取费表'!B22&lt;=1,C39*F22*'数据-取费表'!B21/2,C39*(POWER((1+F22),'数据-取费表'!B21/2)-1)),0)</f>
        <v>12</v>
      </c>
      <c r="D43" s="282"/>
      <c r="E43" s="282"/>
      <c r="F43" s="283"/>
      <c r="G43" s="3147"/>
    </row>
    <row r="44" spans="1:7" ht="13.5" customHeight="1">
      <c r="A44" s="954" t="s">
        <v>793</v>
      </c>
      <c r="B44" s="259" t="s">
        <v>1066</v>
      </c>
      <c r="C44" s="282">
        <f ca="1">ROUND(IF('数据-取费表'!B22&lt;=1,C40*F22*'数据-取费表'!B21/2,C40*(POWER((1+F22),'数据-取费表'!B21/2)-1)),4)</f>
        <v>2.3999999999999998E-3</v>
      </c>
      <c r="D44" s="282"/>
      <c r="E44" s="282"/>
      <c r="F44" s="283"/>
      <c r="G44" s="3148"/>
    </row>
    <row r="45" spans="1:7" s="258" customFormat="1" ht="13.5" customHeight="1">
      <c r="A45" s="951" t="s">
        <v>786</v>
      </c>
      <c r="B45" s="288" t="s">
        <v>112</v>
      </c>
      <c r="C45" s="289">
        <f>C46</f>
        <v>508</v>
      </c>
      <c r="D45" s="279">
        <f>C47</f>
        <v>3.0000000000000001E-3</v>
      </c>
      <c r="E45" s="280" t="s">
        <v>129</v>
      </c>
      <c r="F45" s="290"/>
      <c r="G45" s="291" t="s">
        <v>1072</v>
      </c>
    </row>
    <row r="46" spans="1:7" s="258" customFormat="1" ht="13.5" customHeight="1">
      <c r="A46" s="954" t="s">
        <v>794</v>
      </c>
      <c r="B46" s="292" t="s">
        <v>1065</v>
      </c>
      <c r="C46" s="293">
        <f>ROUND((C33+C39)*F27,0)</f>
        <v>508</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10515</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10305</v>
      </c>
      <c r="D51" s="276"/>
      <c r="E51" s="276"/>
      <c r="F51" s="308"/>
      <c r="G51" s="278" t="s">
        <v>64</v>
      </c>
    </row>
    <row r="52" spans="1:7" s="252" customFormat="1" ht="16.5" thickBot="1">
      <c r="A52" s="309" t="s">
        <v>65</v>
      </c>
      <c r="B52" s="310"/>
      <c r="C52" s="311">
        <f ca="1">C31+C51</f>
        <v>38273</v>
      </c>
      <c r="D52" s="310"/>
      <c r="E52" s="310"/>
      <c r="F52" s="310"/>
      <c r="G52" s="312"/>
    </row>
    <row r="55" spans="1:7" ht="15">
      <c r="B55" s="314" t="s">
        <v>66</v>
      </c>
      <c r="C55" s="315"/>
    </row>
    <row r="56" spans="1:7">
      <c r="B56" s="317" t="s">
        <v>67</v>
      </c>
      <c r="C56" s="318">
        <f ca="1">ROUND(C51/C52,3)</f>
        <v>0.26900000000000002</v>
      </c>
    </row>
    <row r="57" spans="1:7">
      <c r="B57" s="317" t="s">
        <v>68</v>
      </c>
      <c r="C57" s="319">
        <f ca="1">1-C56</f>
        <v>0.73099999999999998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871</v>
      </c>
      <c r="B1" s="328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43416</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H3"/>
  <sheetViews>
    <sheetView workbookViewId="0">
      <selection activeCell="A3" sqref="A3:H3"/>
    </sheetView>
  </sheetViews>
  <sheetFormatPr defaultRowHeight="13.5"/>
  <sheetData>
    <row r="1" spans="1:8" ht="15" thickTop="1">
      <c r="A1" s="3285">
        <v>16471.48</v>
      </c>
      <c r="B1" s="3286">
        <v>24812</v>
      </c>
      <c r="C1" s="3286">
        <v>4351</v>
      </c>
      <c r="D1" s="3286">
        <v>2642</v>
      </c>
      <c r="E1" s="3286">
        <v>10305</v>
      </c>
      <c r="F1" s="3286">
        <v>6256</v>
      </c>
      <c r="G1" s="3286">
        <v>14656</v>
      </c>
      <c r="H1" s="3286">
        <v>8898</v>
      </c>
    </row>
    <row r="2" spans="1:8" ht="15" thickBot="1">
      <c r="A2" s="3287">
        <v>7983.8</v>
      </c>
      <c r="B2" s="3288">
        <v>13773</v>
      </c>
      <c r="C2" s="3288">
        <v>2441</v>
      </c>
      <c r="D2" s="3288">
        <v>3057</v>
      </c>
      <c r="E2" s="3288">
        <v>2974</v>
      </c>
      <c r="F2" s="3288">
        <v>3725</v>
      </c>
      <c r="G2" s="3288">
        <v>5415</v>
      </c>
      <c r="H2" s="3288">
        <v>6782</v>
      </c>
    </row>
    <row r="3" spans="1:8" ht="14.25" thickTop="1">
      <c r="A3">
        <f>A1+A2</f>
        <v>24455.279999999999</v>
      </c>
      <c r="B3">
        <f t="shared" ref="B3:H3" si="0">B1+B2</f>
        <v>38585</v>
      </c>
      <c r="C3">
        <f t="shared" si="0"/>
        <v>6792</v>
      </c>
      <c r="D3">
        <f t="shared" si="0"/>
        <v>5699</v>
      </c>
      <c r="E3">
        <f t="shared" si="0"/>
        <v>13279</v>
      </c>
      <c r="F3">
        <f t="shared" si="0"/>
        <v>9981</v>
      </c>
      <c r="G3">
        <f t="shared" si="0"/>
        <v>20071</v>
      </c>
      <c r="H3">
        <f t="shared" si="0"/>
        <v>15680</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估价结果一览表（市场价值不需“结果表-1”）</v>
      </c>
      <c r="B3" s="2966"/>
      <c r="C3" s="2966"/>
      <c r="D3" s="2966"/>
      <c r="E3" s="2966"/>
    </row>
    <row r="4" spans="1:5" ht="19.5" thickBot="1">
      <c r="A4" s="1963"/>
      <c r="B4" s="2964" t="s">
        <v>1630</v>
      </c>
      <c r="C4" s="2964"/>
      <c r="D4" s="2964"/>
      <c r="E4" s="1963"/>
    </row>
    <row r="5" spans="1:5" ht="16.5" thickTop="1">
      <c r="A5" s="1961"/>
      <c r="B5" s="2962" t="s">
        <v>1622</v>
      </c>
      <c r="C5" s="1964" t="s">
        <v>1623</v>
      </c>
      <c r="D5" s="1043">
        <f ca="1">结果表!H101</f>
        <v>14656</v>
      </c>
      <c r="E5" s="1961"/>
    </row>
    <row r="6" spans="1:5" ht="15.75">
      <c r="A6" s="1961"/>
      <c r="B6" s="2962"/>
      <c r="C6" s="1964" t="s">
        <v>1624</v>
      </c>
      <c r="D6" s="1043" t="str">
        <f ca="1">NUMBERSTRING(INT(D5*10000),2)&amp;"元整"</f>
        <v>壹亿肆仟陆佰伍拾陆万元整</v>
      </c>
      <c r="E6" s="1961"/>
    </row>
    <row r="7" spans="1:5" ht="15.75">
      <c r="A7" s="1961"/>
      <c r="B7" s="2967"/>
      <c r="C7" s="1965" t="s">
        <v>1625</v>
      </c>
      <c r="D7" s="1044">
        <f ca="1">结果表!H102</f>
        <v>8898</v>
      </c>
      <c r="E7" s="1961"/>
    </row>
    <row r="8" spans="1:5" ht="15.75">
      <c r="A8" s="1961"/>
      <c r="B8" s="2968" t="str">
        <f>结果表!E103</f>
        <v>2.估价师知悉的法定优先受偿款</v>
      </c>
      <c r="C8" s="1966" t="s">
        <v>1626</v>
      </c>
      <c r="D8" s="1044">
        <f>结果表!H103</f>
        <v>0</v>
      </c>
      <c r="E8" s="1961"/>
    </row>
    <row r="9" spans="1:5" ht="15.75">
      <c r="A9" s="1961"/>
      <c r="B9" s="2970"/>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61" t="str">
        <f>结果表!E107</f>
        <v>3.房地产抵押价值</v>
      </c>
      <c r="C13" s="1969" t="s">
        <v>1623</v>
      </c>
      <c r="D13" s="1046">
        <f ca="1">结果表!H107</f>
        <v>14656</v>
      </c>
      <c r="E13" s="1961"/>
    </row>
    <row r="14" spans="1:5" ht="15.75">
      <c r="A14" s="1961"/>
      <c r="B14" s="2962"/>
      <c r="C14" s="1964" t="s">
        <v>1624</v>
      </c>
      <c r="D14" s="1043" t="str">
        <f ca="1">NUMBERSTRING(INT(D13*10000),2)&amp;"元整"</f>
        <v>壹亿肆仟陆佰伍拾陆万元整</v>
      </c>
      <c r="E14" s="1961"/>
    </row>
    <row r="15" spans="1:5" ht="15">
      <c r="A15" s="1961"/>
      <c r="B15" s="2967"/>
      <c r="C15" s="1965" t="s">
        <v>1634</v>
      </c>
      <c r="D15" s="1055">
        <f ca="1">结果表!H108</f>
        <v>8898</v>
      </c>
      <c r="E15" s="1961"/>
    </row>
    <row r="16" spans="1:5" ht="15">
      <c r="A16" s="1961"/>
      <c r="B16" s="2968" t="str">
        <f>结果表!E109</f>
        <v>——</v>
      </c>
      <c r="C16" s="1969" t="s">
        <v>1635</v>
      </c>
      <c r="D16" s="1970" t="str">
        <f>结果表!H109</f>
        <v>——</v>
      </c>
      <c r="E16" s="1961"/>
    </row>
    <row r="17" spans="1:5" ht="15.75">
      <c r="A17" s="1961"/>
      <c r="B17" s="2969"/>
      <c r="C17" s="1964" t="s">
        <v>1636</v>
      </c>
      <c r="D17" s="1043" t="e">
        <f>NUMBERSTRING(INT(D16*10000),2)&amp;"元整"</f>
        <v>#VALUE!</v>
      </c>
      <c r="E17" s="1961"/>
    </row>
    <row r="18" spans="1:5" ht="15">
      <c r="A18" s="1961"/>
      <c r="B18" s="2970"/>
      <c r="C18" s="1965" t="s">
        <v>1625</v>
      </c>
      <c r="D18" s="1055" t="str">
        <f>结果表!H110</f>
        <v>——</v>
      </c>
      <c r="E18" s="1961"/>
    </row>
    <row r="19" spans="1:5" ht="15.75">
      <c r="A19" s="1961"/>
      <c r="B19" s="2961" t="str">
        <f>结果表!E111</f>
        <v>——</v>
      </c>
      <c r="C19" s="1969" t="s">
        <v>1623</v>
      </c>
      <c r="D19" s="1044" t="str">
        <f>结果表!H111</f>
        <v>——</v>
      </c>
      <c r="E19" s="1961"/>
    </row>
    <row r="20" spans="1:5" ht="15.75">
      <c r="A20" s="1961"/>
      <c r="B20" s="2962"/>
      <c r="C20" s="1964" t="s">
        <v>1636</v>
      </c>
      <c r="D20" s="1043" t="e">
        <f>NUMBERSTRING(INT(D19*10000),2)&amp;"元整"</f>
        <v>#VALUE!</v>
      </c>
      <c r="E20" s="1961"/>
    </row>
    <row r="21" spans="1:5" ht="15.75" thickBot="1">
      <c r="A21" s="1961"/>
      <c r="B21" s="2963"/>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1" t="str">
        <f>IF(项目基本情况!B9="房地产市场价值","估价结果一览表","结果表-2")</f>
        <v>估价结果一览表</v>
      </c>
      <c r="B1" s="2971"/>
      <c r="C1" s="2971"/>
      <c r="D1" s="2971"/>
      <c r="E1" s="2971"/>
      <c r="F1" s="2971"/>
      <c r="G1" s="2971"/>
      <c r="H1" s="2971"/>
      <c r="I1" s="2971"/>
    </row>
    <row r="2" spans="1:9" ht="30" customHeight="1" thickTop="1">
      <c r="A2" s="2972" t="s">
        <v>1641</v>
      </c>
      <c r="B2" s="2972" t="s">
        <v>1642</v>
      </c>
      <c r="C2" s="2972" t="s">
        <v>1643</v>
      </c>
      <c r="D2" s="2972" t="str">
        <f>结果表!D116</f>
        <v>出让国有建设用地使用权价值</v>
      </c>
      <c r="E2" s="2972"/>
      <c r="F2" s="2972" t="str">
        <f>结果表!F116</f>
        <v>在建建筑物价值</v>
      </c>
      <c r="G2" s="2972"/>
      <c r="H2" s="2972" t="str">
        <f>IF(项目基本情况!B9="房地产市场价值","房地产市场价值","房地产价值")</f>
        <v>房地产市场价值</v>
      </c>
      <c r="I2" s="2972"/>
    </row>
    <row r="3" spans="1:9" ht="15">
      <c r="A3" s="2973"/>
      <c r="B3" s="2973"/>
      <c r="C3" s="2973"/>
      <c r="D3" s="1047" t="s">
        <v>1638</v>
      </c>
      <c r="E3" s="1047" t="s">
        <v>1644</v>
      </c>
      <c r="F3" s="1047" t="s">
        <v>1638</v>
      </c>
      <c r="G3" s="1047" t="s">
        <v>1639</v>
      </c>
      <c r="H3" s="1047" t="s">
        <v>1638</v>
      </c>
      <c r="I3" s="1047" t="s">
        <v>1639</v>
      </c>
    </row>
    <row r="4" spans="1:9" ht="15">
      <c r="A4" s="1975" t="str">
        <f>项目基本情况!S2</f>
        <v>房地产</v>
      </c>
      <c r="B4" s="1047">
        <f>项目基本情况!C17</f>
        <v>16471.48</v>
      </c>
      <c r="C4" s="1047">
        <f>项目基本情况!C18</f>
        <v>24812</v>
      </c>
      <c r="D4" s="1047">
        <f ca="1">结果表!D118</f>
        <v>4351</v>
      </c>
      <c r="E4" s="1047">
        <f ca="1">结果表!E118</f>
        <v>2642</v>
      </c>
      <c r="F4" s="1047">
        <f ca="1">结果表!F118</f>
        <v>10305</v>
      </c>
      <c r="G4" s="1047">
        <f ca="1">结果表!G118</f>
        <v>6256</v>
      </c>
      <c r="H4" s="1047">
        <f ca="1">结果表!H118</f>
        <v>14656</v>
      </c>
      <c r="I4" s="1047">
        <f ca="1">结果表!I118</f>
        <v>8898</v>
      </c>
    </row>
    <row r="5" spans="1:9" ht="30" customHeight="1">
      <c r="A5" s="2973" t="s">
        <v>1640</v>
      </c>
      <c r="B5" s="2973"/>
      <c r="C5" s="2973"/>
      <c r="D5" s="2974" t="str">
        <f ca="1">结果表!D119</f>
        <v>肆仟叁佰伍拾壹万元整</v>
      </c>
      <c r="E5" s="2974"/>
      <c r="F5" s="2974" t="str">
        <f ca="1">结果表!F119</f>
        <v>壹亿零叁佰零伍万元整</v>
      </c>
      <c r="G5" s="2974"/>
      <c r="H5" s="2974" t="str">
        <f ca="1">结果表!H119</f>
        <v>壹亿肆仟陆佰伍拾陆万元整</v>
      </c>
      <c r="I5" s="2974"/>
    </row>
    <row r="6" spans="1:9" ht="15.75">
      <c r="A6" s="2975" t="str">
        <f>结果表!A120</f>
        <v/>
      </c>
      <c r="B6" s="2975"/>
      <c r="C6" s="2975"/>
      <c r="D6" s="2975">
        <f>结果表!D120</f>
        <v>0</v>
      </c>
      <c r="E6" s="2975"/>
      <c r="F6" s="2975"/>
      <c r="G6" s="2975"/>
      <c r="H6" s="2975"/>
      <c r="I6" s="2975"/>
    </row>
    <row r="7" spans="1:9" ht="15">
      <c r="A7" s="2973" t="s">
        <v>1640</v>
      </c>
      <c r="B7" s="2973"/>
      <c r="C7" s="2973"/>
      <c r="D7" s="2976" t="str">
        <f>结果表!D121</f>
        <v>零元整</v>
      </c>
      <c r="E7" s="2977"/>
      <c r="F7" s="2977"/>
      <c r="G7" s="2977"/>
      <c r="H7" s="2977"/>
      <c r="I7" s="2978"/>
    </row>
    <row r="8" spans="1:9" ht="15.75">
      <c r="A8" s="2975" t="str">
        <f>结果表!A122</f>
        <v/>
      </c>
      <c r="B8" s="2975"/>
      <c r="C8" s="2975"/>
      <c r="D8" s="2975">
        <f ca="1">结果表!D122</f>
        <v>14656</v>
      </c>
      <c r="E8" s="2975"/>
      <c r="F8" s="2975"/>
      <c r="G8" s="2975"/>
      <c r="H8" s="2975"/>
      <c r="I8" s="2975"/>
    </row>
    <row r="9" spans="1:9" ht="15">
      <c r="A9" s="2973" t="s">
        <v>1640</v>
      </c>
      <c r="B9" s="2973"/>
      <c r="C9" s="2973"/>
      <c r="D9" s="2974" t="str">
        <f ca="1">结果表!D123</f>
        <v>壹亿肆仟陆佰伍拾陆万元整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1640</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1640</v>
      </c>
      <c r="B13" s="2979"/>
      <c r="C13" s="2979"/>
      <c r="D13" s="2980" t="e">
        <f>结果表!D127</f>
        <v>#VALUE!</v>
      </c>
      <c r="E13" s="2980"/>
      <c r="F13" s="2980"/>
      <c r="G13" s="2980"/>
      <c r="H13" s="2980"/>
      <c r="I13" s="2980"/>
    </row>
    <row r="14" spans="1:9" ht="15" thickTop="1">
      <c r="A14" s="2981" t="s">
        <v>1645</v>
      </c>
      <c r="B14" s="2981"/>
      <c r="C14" s="2981"/>
      <c r="D14" s="2981"/>
      <c r="E14" s="2981"/>
      <c r="F14" s="2981"/>
      <c r="G14" s="2981"/>
      <c r="H14" s="2981"/>
      <c r="I14" s="2981"/>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2" t="s">
        <v>1662</v>
      </c>
      <c r="B1" s="2982"/>
      <c r="C1" s="2982"/>
      <c r="D1" s="2982"/>
    </row>
    <row r="2" spans="1:4" ht="18">
      <c r="A2" s="2983" t="s">
        <v>1646</v>
      </c>
      <c r="B2" s="2983"/>
      <c r="C2" s="2983"/>
      <c r="D2" s="2983"/>
    </row>
    <row r="3" spans="1:4" ht="18.75">
      <c r="A3" s="1979" t="s">
        <v>1647</v>
      </c>
      <c r="B3" s="1979" t="s">
        <v>1648</v>
      </c>
      <c r="C3" s="1979" t="s">
        <v>1649</v>
      </c>
      <c r="D3" s="1979" t="s">
        <v>1650</v>
      </c>
    </row>
    <row r="4" spans="1:4" ht="56.25" customHeight="1">
      <c r="A4" s="1980">
        <f>项目基本情况!B4</f>
        <v>0</v>
      </c>
      <c r="B4" s="1981">
        <f>项目基本情况!C4</f>
        <v>0</v>
      </c>
      <c r="C4" s="1982"/>
      <c r="D4" s="1983" t="s">
        <v>1651</v>
      </c>
    </row>
    <row r="5" spans="1:4" ht="56.25" customHeight="1">
      <c r="A5" s="1980">
        <f>项目基本情况!D4</f>
        <v>0</v>
      </c>
      <c r="B5" s="1981">
        <f>项目基本情况!E4</f>
        <v>0</v>
      </c>
      <c r="C5" s="1984"/>
      <c r="D5" s="1983" t="s">
        <v>1651</v>
      </c>
    </row>
    <row r="6" spans="1:4" ht="18">
      <c r="A6" s="2983" t="s">
        <v>1652</v>
      </c>
      <c r="B6" s="2983"/>
      <c r="C6" s="2983"/>
      <c r="D6" s="2983"/>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84" t="s">
        <v>1655</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6"/>
      <c r="C12" s="2986"/>
      <c r="D12" s="2986"/>
    </row>
    <row r="13" spans="1:4" ht="30" customHeight="1">
      <c r="A13" s="2985" t="str">
        <f>IF(项目基本情况!B8="抵押","3.抵押双方在办理抵押登记手续时，应使用本公司出具的正式《房地产评估报告》，特提醒报告使用者注意。","——")</f>
        <v>——</v>
      </c>
      <c r="B13" s="2986"/>
      <c r="C13" s="2986"/>
      <c r="D13" s="2986"/>
    </row>
    <row r="14" spans="1:4" ht="15.75" customHeight="1">
      <c r="A14" s="2985" t="str">
        <f>IF(项目基本情况!B8="抵押","4.本次评估估价师所知悉的法定优先受偿款情况说明如下：","——")</f>
        <v>——</v>
      </c>
      <c r="B14" s="2986"/>
      <c r="C14" s="2986"/>
      <c r="D14" s="2986"/>
    </row>
    <row r="15" spans="1:4" ht="42" customHeight="1">
      <c r="A15" s="2985" t="str">
        <f>IF(项目基本情况!B8="抵押","（1）"&amp;CONCATENATE(项目基本情况!L20,项目基本情况!L21,项目基本情况!L22),"——")</f>
        <v>——</v>
      </c>
      <c r="B15" s="2985"/>
      <c r="C15" s="2985"/>
      <c r="D15" s="2985"/>
    </row>
    <row r="16" spans="1:4" ht="30" customHeight="1">
      <c r="A16" s="2988" t="s">
        <v>1656</v>
      </c>
      <c r="B16" s="2988"/>
      <c r="C16" s="2988"/>
      <c r="D16" s="2988"/>
    </row>
    <row r="17" spans="1:4" ht="144" customHeight="1">
      <c r="A17" s="2988" t="s">
        <v>1657</v>
      </c>
      <c r="B17" s="2988"/>
      <c r="C17" s="2988"/>
      <c r="D17" s="2988"/>
    </row>
    <row r="18" spans="1:4" ht="15.75" customHeight="1">
      <c r="A18" s="2985" t="str">
        <f>IF(项目基本情况!B8="抵押",结果表!K120,"——")</f>
        <v>——</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1658</v>
      </c>
      <c r="B22" s="2990"/>
      <c r="C22" s="2990"/>
      <c r="D22" s="2990"/>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8.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9.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96" t="s">
        <v>1669</v>
      </c>
      <c r="B15" s="2991" t="s">
        <v>136</v>
      </c>
      <c r="C15" s="2992"/>
    </row>
    <row r="16" spans="1:7" ht="13.5">
      <c r="A16" s="2997"/>
      <c r="B16" s="2991" t="s">
        <v>69</v>
      </c>
      <c r="C16" s="2992"/>
    </row>
    <row r="17" spans="1:3" ht="13.5">
      <c r="A17" s="2997"/>
      <c r="B17" s="2994" t="s">
        <v>1670</v>
      </c>
      <c r="C17" s="2002" t="s">
        <v>1669</v>
      </c>
    </row>
    <row r="18" spans="1:3" ht="13.5">
      <c r="A18" s="2997"/>
      <c r="B18" s="2994"/>
      <c r="C18" s="2002" t="s">
        <v>1671</v>
      </c>
    </row>
    <row r="19" spans="1:3" ht="13.5">
      <c r="A19" s="2997"/>
      <c r="B19" s="2994"/>
      <c r="C19" s="2002" t="s">
        <v>1672</v>
      </c>
    </row>
    <row r="20" spans="1:3" ht="13.5">
      <c r="A20" s="2998"/>
      <c r="B20" s="2993" t="s">
        <v>1673</v>
      </c>
      <c r="C20" s="2992"/>
    </row>
    <row r="21" spans="1:3" ht="13.5">
      <c r="A21" s="2003" t="s">
        <v>1674</v>
      </c>
      <c r="B21" s="2004"/>
      <c r="C21" s="2005"/>
    </row>
    <row r="22" spans="1:3" ht="13.5">
      <c r="A22" s="2995" t="s">
        <v>1675</v>
      </c>
      <c r="B22" s="2993" t="s">
        <v>1676</v>
      </c>
      <c r="C22" s="2992"/>
    </row>
    <row r="23" spans="1:3" ht="13.5">
      <c r="A23" s="2995"/>
      <c r="B23" s="2993" t="s">
        <v>1677</v>
      </c>
      <c r="C23" s="2992"/>
    </row>
    <row r="24" spans="1:3" ht="13.5">
      <c r="A24" s="2995"/>
      <c r="B24" s="2993" t="s">
        <v>1678</v>
      </c>
      <c r="C24" s="2992"/>
    </row>
    <row r="25" spans="1:3" ht="13.5">
      <c r="A25" s="2995"/>
      <c r="B25" s="2994" t="s">
        <v>1679</v>
      </c>
      <c r="C25" s="2002" t="s">
        <v>1680</v>
      </c>
    </row>
    <row r="26" spans="1:3" ht="13.5">
      <c r="A26" s="2995"/>
      <c r="B26" s="2994"/>
      <c r="C26" s="2002" t="s">
        <v>1681</v>
      </c>
    </row>
    <row r="27" spans="1:3" ht="13.5">
      <c r="A27" s="2995"/>
      <c r="B27" s="2994"/>
      <c r="C27" s="2002" t="s">
        <v>1682</v>
      </c>
    </row>
    <row r="28" spans="1:3" ht="13.5">
      <c r="A28" s="2995"/>
      <c r="B28" s="2994"/>
      <c r="C28" s="2002" t="s">
        <v>1683</v>
      </c>
    </row>
    <row r="29" spans="1:3" ht="13.5">
      <c r="A29" s="2995"/>
      <c r="B29" s="2994"/>
      <c r="C29" s="2002" t="s">
        <v>1684</v>
      </c>
    </row>
    <row r="30" spans="1:3" ht="13.5">
      <c r="A30" s="2995"/>
      <c r="B30" s="2994"/>
      <c r="C30" s="2002" t="s">
        <v>1685</v>
      </c>
    </row>
    <row r="31" spans="1:3" ht="13.5">
      <c r="A31" s="2995"/>
      <c r="B31" s="2994"/>
      <c r="C31" s="2002" t="s">
        <v>1686</v>
      </c>
    </row>
    <row r="32" spans="1:3" ht="13.5">
      <c r="A32" s="2995"/>
      <c r="B32" s="2994"/>
      <c r="C32" s="2002" t="s">
        <v>1687</v>
      </c>
    </row>
    <row r="33" spans="1:3" ht="13.5">
      <c r="A33" s="2995"/>
      <c r="B33" s="299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Sheet1 (2)</vt: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Sheet1</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成本法!Print_Area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2018-11-15T07:47:16Z</cp:lastPrinted>
  <dcterms:created xsi:type="dcterms:W3CDTF">2015-07-13T07:17:23Z</dcterms:created>
  <dcterms:modified xsi:type="dcterms:W3CDTF">2018-11-15T08:58:59Z</dcterms:modified>
</cp:coreProperties>
</file>