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9" firstSheet="14"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已出租" sheetId="15" state="hidden" r:id="rId23"/>
    <sheet name="收益法 (元)" sheetId="67"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未出租" sheetId="81" r:id="rId43"/>
    <sheet name="收益法（汇总）" sheetId="70" state="hidden" r:id="rId44"/>
    <sheet name="比较法-商业 (租金)" sheetId="79" r:id="rId45"/>
    <sheet name="案例及商业租金楼层修正" sheetId="77" r:id="rId46"/>
    <sheet name="典型户型修正" sheetId="31" r:id="rId47"/>
    <sheet name="结果表 (计算净值)" sheetId="82" state="hidden" r:id="rId48"/>
    <sheet name="年期修正系数" sheetId="80" state="hidden"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4" hidden="1">'比较法-商业 (租金)'!$A$1:$L$49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2">收益法未出租!$A$1:$AK$69</definedName>
    <definedName name="_xlnm.Print_Area" localSheetId="22">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 (租金)'!$B$116:$M$116</definedName>
    <definedName name="商业层高">'比较法-商业'!$B$116:$M$116</definedName>
    <definedName name="商业成新度" localSheetId="44">'比较法-商业 (租金)'!$B$109:$M$109</definedName>
    <definedName name="商业成新度">'比较法-商业'!$B$109:$M$109</definedName>
    <definedName name="商业繁华度">定义!$L$1:$L$6</definedName>
    <definedName name="商业公共部分装修" localSheetId="44">'比较法-商业 (租金)'!$B$107:$M$107</definedName>
    <definedName name="商业公共部分装修">'比较法-商业'!$B$107:$M$107</definedName>
    <definedName name="商业基础设施水平" localSheetId="44">'比较法-商业 (租金)'!$B$112:$M$112</definedName>
    <definedName name="商业基础设施水平">'比较法-商业'!$B$112:$M$112</definedName>
    <definedName name="商业建筑结构" localSheetId="44">'比较法-商业 (租金)'!$B$105:$M$105</definedName>
    <definedName name="商业建筑结构">'比较法-商业'!$B$105:$M$105</definedName>
    <definedName name="商业交易情况" localSheetId="44">'比较法-商业 (租金)'!$A$61:$M$61</definedName>
    <definedName name="商业交易情况">'比较法-商业'!$A$61:$M$61</definedName>
    <definedName name="商业街名称">修正!$C$59:$C$119</definedName>
    <definedName name="商业进深比" localSheetId="44">'比较法-商业 (租金)'!$B$120:$M$120</definedName>
    <definedName name="商业进深比">'比较法-商业'!$B$120:$M$120</definedName>
    <definedName name="商业类型" localSheetId="44">'比较法-商业 (租金)'!$B$100:$M$100</definedName>
    <definedName name="商业类型">'比较法-商业'!$B$100:$M$100</definedName>
    <definedName name="商业临街状况" localSheetId="44">'比较法-商业 (租金)'!$B$86:$M$86</definedName>
    <definedName name="商业临街状况">'比较法-商业'!$B$86:$M$86</definedName>
    <definedName name="商业楼层" localSheetId="44">'比较法-商业 (租金)'!$B$92:$M$92</definedName>
    <definedName name="商业楼层">'比较法-商业'!$B$92:$M$92</definedName>
    <definedName name="商业内部装修" localSheetId="44">'比较法-商业 (租金)'!$B$122:$M$122</definedName>
    <definedName name="商业内部装修">'比较法-商业'!$B$122:$M$122</definedName>
    <definedName name="商业人流量" localSheetId="44">'比较法-商业 (租金)'!$B$90:$M$90</definedName>
    <definedName name="商业人流量">'比较法-商业'!$B$90:$M$90</definedName>
    <definedName name="商业业态" localSheetId="44">'比较法-商业 (租金)'!$B$114:$M$114</definedName>
    <definedName name="商业业态">'比较法-商业'!$B$114:$M$114</definedName>
    <definedName name="商业用途" localSheetId="44">'比较法-商业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59" i="77" l="1"/>
  <c r="E58" i="77"/>
  <c r="E57" i="77"/>
  <c r="E56" i="77"/>
  <c r="M6" i="1"/>
  <c r="C14" i="81"/>
  <c r="C15" i="81"/>
  <c r="F16" i="81"/>
  <c r="C16" i="81"/>
  <c r="F43" i="81"/>
  <c r="C17" i="81"/>
  <c r="C18" i="81"/>
  <c r="C19" i="81"/>
  <c r="C20" i="81"/>
  <c r="D5" i="73"/>
  <c r="K1" i="73"/>
  <c r="D4" i="73"/>
  <c r="G1" i="73"/>
  <c r="B40" i="1"/>
  <c r="F24" i="81"/>
  <c r="C23" i="81"/>
  <c r="F26" i="81"/>
  <c r="C26" i="81"/>
  <c r="C24" i="81"/>
  <c r="C27" i="81"/>
  <c r="C29" i="81"/>
  <c r="F13" i="81"/>
  <c r="C13" i="81"/>
  <c r="F36" i="79"/>
  <c r="AA36" i="79"/>
  <c r="F37" i="79"/>
  <c r="AA37" i="79"/>
  <c r="R48" i="79"/>
  <c r="H36" i="79"/>
  <c r="AB36" i="79"/>
  <c r="T48" i="79"/>
  <c r="J36" i="79"/>
  <c r="AC36" i="79"/>
  <c r="V48" i="79"/>
  <c r="R49" i="79"/>
  <c r="C49" i="79"/>
  <c r="D55" i="77"/>
  <c r="F55" i="77"/>
  <c r="F56" i="77"/>
  <c r="F57" i="77"/>
  <c r="F58" i="77"/>
  <c r="U6" i="1"/>
  <c r="F6" i="81"/>
  <c r="F8" i="81"/>
  <c r="F7" i="81"/>
  <c r="F9" i="81"/>
  <c r="C6" i="81"/>
  <c r="F4" i="73"/>
  <c r="I1" i="73"/>
  <c r="B39" i="1"/>
  <c r="F11" i="81"/>
  <c r="C10" i="81"/>
  <c r="C5" i="81"/>
  <c r="C32" i="81"/>
  <c r="C33" i="81"/>
  <c r="R6" i="1"/>
  <c r="F35" i="81"/>
  <c r="C34" i="81"/>
  <c r="C31" i="81"/>
  <c r="F36" i="81"/>
  <c r="C36" i="81"/>
  <c r="F37" i="81"/>
  <c r="C37" i="81"/>
  <c r="F38" i="81"/>
  <c r="C38" i="81"/>
  <c r="C30" i="81"/>
  <c r="C39" i="81"/>
  <c r="F42" i="81"/>
  <c r="F40" i="81"/>
  <c r="L48" i="81"/>
  <c r="J53" i="81"/>
  <c r="F1" i="81"/>
  <c r="AE6" i="1"/>
  <c r="F41" i="81"/>
  <c r="C40" i="81"/>
  <c r="H81" i="81"/>
  <c r="H82" i="81"/>
  <c r="G19" i="6"/>
  <c r="F19" i="6"/>
  <c r="D113" i="79"/>
  <c r="E113" i="79"/>
  <c r="H37" i="79"/>
  <c r="AB37" i="79"/>
  <c r="J37" i="79"/>
  <c r="AC37" i="79"/>
  <c r="D113" i="33"/>
  <c r="E113" i="33"/>
  <c r="F37" i="33"/>
  <c r="AA37" i="33"/>
  <c r="F7" i="33"/>
  <c r="AA7" i="33"/>
  <c r="R48" i="33"/>
  <c r="H37" i="33"/>
  <c r="AB37" i="33"/>
  <c r="H7" i="33"/>
  <c r="AB7" i="33"/>
  <c r="T48" i="33"/>
  <c r="J37" i="33"/>
  <c r="AC37" i="33"/>
  <c r="J7" i="33"/>
  <c r="AC7" i="33"/>
  <c r="J36" i="33"/>
  <c r="AC36" i="33"/>
  <c r="V48" i="33"/>
  <c r="R49" i="33"/>
  <c r="C49" i="33"/>
  <c r="R24" i="31"/>
  <c r="E19" i="6"/>
  <c r="K6" i="1"/>
  <c r="BQ14" i="3"/>
  <c r="BQ15" i="3"/>
  <c r="BQ16" i="3"/>
  <c r="BQ5" i="3"/>
  <c r="BS14" i="3"/>
  <c r="BS15" i="3"/>
  <c r="BS16" i="3"/>
  <c r="BS5" i="3"/>
  <c r="F28" i="6"/>
  <c r="BR14" i="3"/>
  <c r="BR15" i="3"/>
  <c r="BR16" i="3"/>
  <c r="BR5" i="3"/>
  <c r="BT14" i="3"/>
  <c r="BT15" i="3"/>
  <c r="BT16" i="3"/>
  <c r="BT5" i="3"/>
  <c r="G28" i="6"/>
  <c r="E28" i="6"/>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A5" i="3"/>
  <c r="BB5" i="3"/>
  <c r="E8" i="6"/>
  <c r="F27" i="6"/>
  <c r="E27" i="6"/>
  <c r="K19" i="6"/>
  <c r="S6" i="1"/>
  <c r="T6" i="1"/>
  <c r="C76" i="81"/>
  <c r="C75" i="81"/>
  <c r="BM14" i="3"/>
  <c r="BN14" i="3"/>
  <c r="BO14" i="3"/>
  <c r="BP14" i="3"/>
  <c r="BL14" i="3"/>
  <c r="AZ14" i="3"/>
  <c r="BM15" i="3"/>
  <c r="BN15" i="3"/>
  <c r="BO15" i="3"/>
  <c r="BP15" i="3"/>
  <c r="BL15" i="3"/>
  <c r="AZ15" i="3"/>
  <c r="BM16" i="3"/>
  <c r="BN16" i="3"/>
  <c r="BO16" i="3"/>
  <c r="BP16" i="3"/>
  <c r="BL16" i="3"/>
  <c r="AZ16" i="3"/>
  <c r="AZ5" i="3"/>
  <c r="AY6" i="3"/>
  <c r="D3" i="6"/>
  <c r="E3" i="6"/>
  <c r="D19" i="6"/>
  <c r="L19" i="6"/>
  <c r="M19" i="6"/>
  <c r="I19" i="6"/>
  <c r="H19" i="6"/>
  <c r="R19" i="6"/>
  <c r="C80" i="8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B21" i="31"/>
  <c r="C20" i="9"/>
  <c r="M6" i="81"/>
  <c r="M8" i="81"/>
  <c r="M7" i="81"/>
  <c r="M9" i="81"/>
  <c r="J6" i="81"/>
  <c r="M11" i="81"/>
  <c r="J10" i="81"/>
  <c r="J5" i="81"/>
  <c r="J26" i="81"/>
  <c r="J29" i="81"/>
  <c r="J60" i="81"/>
  <c r="L46" i="81"/>
  <c r="B2" i="81"/>
  <c r="B3" i="81"/>
  <c r="D20" i="9"/>
  <c r="G20" i="9"/>
  <c r="B20" i="31"/>
  <c r="C19" i="82"/>
  <c r="D19" i="82"/>
  <c r="G19" i="82"/>
  <c r="C32" i="82"/>
  <c r="H118" i="82"/>
  <c r="E111" i="82"/>
  <c r="H111" i="82"/>
  <c r="D126" i="82"/>
  <c r="D127" i="82"/>
  <c r="A126" i="82"/>
  <c r="E109" i="82"/>
  <c r="H109" i="82"/>
  <c r="D124" i="82"/>
  <c r="D125" i="82"/>
  <c r="A124" i="82"/>
  <c r="E107" i="82"/>
  <c r="C17" i="82"/>
  <c r="D14" i="82"/>
  <c r="D17" i="82"/>
  <c r="C18" i="82"/>
  <c r="F6" i="15"/>
  <c r="F8" i="15"/>
  <c r="F7" i="15"/>
  <c r="F9" i="15"/>
  <c r="C6" i="15"/>
  <c r="F11" i="15"/>
  <c r="C10" i="15"/>
  <c r="C5" i="15"/>
  <c r="C32" i="15"/>
  <c r="C33" i="15"/>
  <c r="F35" i="15"/>
  <c r="C34" i="15"/>
  <c r="C31" i="15"/>
  <c r="C14"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46" i="15"/>
  <c r="B2" i="15"/>
  <c r="D18" i="82"/>
  <c r="C24"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F43" i="15"/>
  <c r="B3" i="15"/>
  <c r="D20" i="82"/>
  <c r="D103" i="82"/>
  <c r="C20"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5"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C79" i="81"/>
  <c r="D34" i="82"/>
  <c r="F33" i="82"/>
  <c r="D27" i="82"/>
  <c r="C25" i="82"/>
  <c r="D22" i="82"/>
  <c r="L19" i="82"/>
  <c r="G21" i="82"/>
  <c r="D21" i="82"/>
  <c r="C21" i="82"/>
  <c r="G20" i="82"/>
  <c r="L18" i="82"/>
  <c r="L4" i="82"/>
  <c r="K4" i="82"/>
  <c r="A2" i="82"/>
  <c r="H1" i="82"/>
  <c r="G15" i="74"/>
  <c r="D87" i="79"/>
  <c r="E87" i="79"/>
  <c r="F25" i="79"/>
  <c r="AA25" i="79"/>
  <c r="D111" i="79"/>
  <c r="E111" i="79"/>
  <c r="F111" i="79"/>
  <c r="H25" i="79"/>
  <c r="AB25" i="79"/>
  <c r="J25" i="79"/>
  <c r="AC25" i="79"/>
  <c r="E47" i="33"/>
  <c r="C33" i="79"/>
  <c r="I47" i="79"/>
  <c r="C75" i="9"/>
  <c r="I47" i="33"/>
  <c r="G47" i="33"/>
  <c r="G47" i="79"/>
  <c r="E47" i="79"/>
  <c r="C33" i="33"/>
  <c r="D14" i="9"/>
  <c r="Q72" i="81"/>
  <c r="Q59" i="81"/>
  <c r="K59" i="81"/>
  <c r="P74" i="81"/>
  <c r="F59" i="81"/>
  <c r="Q58" i="81"/>
  <c r="Q51" i="81"/>
  <c r="J50" i="81"/>
  <c r="M47" i="81"/>
  <c r="D46" i="81"/>
  <c r="F33" i="81"/>
  <c r="F61" i="81"/>
  <c r="F31" i="81"/>
  <c r="F23" i="81"/>
  <c r="D24" i="81"/>
  <c r="F21" i="81"/>
  <c r="F20" i="81"/>
  <c r="M19" i="81"/>
  <c r="F18" i="81"/>
  <c r="M17" i="81"/>
  <c r="F17" i="81"/>
  <c r="F15" i="81"/>
  <c r="E3" i="80"/>
  <c r="B1" i="80"/>
  <c r="C5" i="80"/>
  <c r="D5" i="80"/>
  <c r="F10" i="80"/>
  <c r="F9" i="80"/>
  <c r="B16" i="80"/>
  <c r="C4" i="80"/>
  <c r="D4" i="80"/>
  <c r="C59" i="77"/>
  <c r="B59" i="77"/>
  <c r="C3" i="80"/>
  <c r="B13" i="80"/>
  <c r="D22" i="81"/>
  <c r="D23" i="81"/>
  <c r="P61" i="81"/>
  <c r="C13" i="80"/>
  <c r="C16" i="80"/>
  <c r="D3"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F113" i="79"/>
  <c r="G113" i="79"/>
  <c r="H113" i="79"/>
  <c r="I113" i="79"/>
  <c r="J113" i="79"/>
  <c r="K113" i="79"/>
  <c r="L113" i="79"/>
  <c r="M113"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B98" i="79"/>
  <c r="B96" i="79"/>
  <c r="B94" i="79"/>
  <c r="B92" i="79"/>
  <c r="D91" i="79"/>
  <c r="E91" i="79"/>
  <c r="F91" i="79"/>
  <c r="G91" i="79"/>
  <c r="H91" i="79"/>
  <c r="I91" i="79"/>
  <c r="J91" i="79"/>
  <c r="K91" i="79"/>
  <c r="L91" i="79"/>
  <c r="M91" i="79"/>
  <c r="B90" i="79"/>
  <c r="B88"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H66" i="79"/>
  <c r="I66" i="79"/>
  <c r="G66" i="79"/>
  <c r="C63" i="79"/>
  <c r="I54" i="79"/>
  <c r="J54" i="79"/>
  <c r="G54" i="79"/>
  <c r="H54" i="79"/>
  <c r="E54" i="79"/>
  <c r="F54" i="79"/>
  <c r="P49" i="79"/>
  <c r="P48" i="79"/>
  <c r="V47" i="79"/>
  <c r="T47" i="79"/>
  <c r="R47" i="79"/>
  <c r="P47" i="79"/>
  <c r="Q46" i="79"/>
  <c r="Z46" i="79"/>
  <c r="J46" i="79"/>
  <c r="AC46" i="79"/>
  <c r="H46" i="79"/>
  <c r="AB46" i="79"/>
  <c r="F46" i="79"/>
  <c r="AA46" i="79"/>
  <c r="Q45" i="79"/>
  <c r="Z45" i="79"/>
  <c r="J45" i="79"/>
  <c r="AC45" i="79"/>
  <c r="H45" i="79"/>
  <c r="AB45" i="79"/>
  <c r="F45" i="79"/>
  <c r="AA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Q35" i="79"/>
  <c r="Z35" i="79"/>
  <c r="J35" i="79"/>
  <c r="AC35" i="79"/>
  <c r="H35" i="79"/>
  <c r="AB35" i="79"/>
  <c r="F35" i="79"/>
  <c r="Q34" i="79"/>
  <c r="Z34" i="79"/>
  <c r="J34" i="79"/>
  <c r="AC34" i="79"/>
  <c r="H34" i="79"/>
  <c r="AB34" i="79"/>
  <c r="F34" i="79"/>
  <c r="AA34" i="79"/>
  <c r="Q33" i="79"/>
  <c r="Z33" i="79"/>
  <c r="F33" i="79"/>
  <c r="AA33" i="79"/>
  <c r="H33" i="79"/>
  <c r="Q32" i="79"/>
  <c r="Z32" i="79"/>
  <c r="J32" i="79"/>
  <c r="AC32" i="79"/>
  <c r="H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F27" i="79"/>
  <c r="AA27" i="79"/>
  <c r="Q26" i="79"/>
  <c r="Z26" i="79"/>
  <c r="J26" i="79"/>
  <c r="AC26" i="79"/>
  <c r="H26" i="79"/>
  <c r="AB26" i="79"/>
  <c r="F26" i="79"/>
  <c r="AA26" i="79"/>
  <c r="Q25" i="79"/>
  <c r="Z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J8" i="79"/>
  <c r="W8" i="79"/>
  <c r="H8" i="79"/>
  <c r="AB8" i="79"/>
  <c r="F8" i="79"/>
  <c r="S8" i="79"/>
  <c r="D3" i="79"/>
  <c r="D2" i="79"/>
  <c r="U8" i="79"/>
  <c r="J33" i="79"/>
  <c r="AC33" i="79"/>
  <c r="H27" i="79"/>
  <c r="AB27" i="79"/>
  <c r="H101" i="79"/>
  <c r="I101" i="79"/>
  <c r="J101" i="79"/>
  <c r="K101" i="79"/>
  <c r="L101" i="79"/>
  <c r="M101" i="79"/>
  <c r="F32" i="79"/>
  <c r="AA32" i="79"/>
  <c r="W33" i="79"/>
  <c r="S10" i="79"/>
  <c r="W10" i="79"/>
  <c r="U11" i="79"/>
  <c r="S12" i="79"/>
  <c r="W12" i="79"/>
  <c r="U13" i="79"/>
  <c r="S14" i="79"/>
  <c r="W14" i="79"/>
  <c r="S15" i="79"/>
  <c r="W15" i="79"/>
  <c r="S17" i="79"/>
  <c r="W17" i="79"/>
  <c r="S19" i="79"/>
  <c r="W19" i="79"/>
  <c r="S21" i="79"/>
  <c r="W21" i="79"/>
  <c r="S23" i="79"/>
  <c r="W23" i="79"/>
  <c r="U25" i="79"/>
  <c r="S26" i="79"/>
  <c r="W26" i="79"/>
  <c r="S28" i="79"/>
  <c r="W28" i="79"/>
  <c r="U29" i="79"/>
  <c r="S30" i="79"/>
  <c r="W30" i="79"/>
  <c r="U31" i="79"/>
  <c r="AB33" i="79"/>
  <c r="U33" i="79"/>
  <c r="S33" i="79"/>
  <c r="U34" i="79"/>
  <c r="AA8" i="79"/>
  <c r="AC8" i="79"/>
  <c r="U9"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AB32" i="79"/>
  <c r="U32" i="79"/>
  <c r="W32" i="79"/>
  <c r="AA35" i="79"/>
  <c r="S35" i="79"/>
  <c r="G111" i="79"/>
  <c r="H111" i="79"/>
  <c r="I111" i="79"/>
  <c r="J111" i="79"/>
  <c r="K111" i="79"/>
  <c r="L111" i="79"/>
  <c r="M111" i="79"/>
  <c r="W35" i="79"/>
  <c r="S37" i="79"/>
  <c r="W37" i="79"/>
  <c r="U38" i="79"/>
  <c r="S39" i="79"/>
  <c r="W39" i="79"/>
  <c r="U40" i="79"/>
  <c r="S41" i="79"/>
  <c r="W41" i="79"/>
  <c r="U42" i="79"/>
  <c r="S43" i="79"/>
  <c r="W43" i="79"/>
  <c r="U44" i="79"/>
  <c r="S45" i="79"/>
  <c r="W45" i="79"/>
  <c r="U46" i="79"/>
  <c r="S34" i="79"/>
  <c r="W34" i="79"/>
  <c r="U35" i="79"/>
  <c r="U37" i="79"/>
  <c r="S38" i="79"/>
  <c r="W38" i="79"/>
  <c r="U39" i="79"/>
  <c r="S40" i="79"/>
  <c r="W40" i="79"/>
  <c r="U41" i="79"/>
  <c r="S42" i="79"/>
  <c r="W42" i="79"/>
  <c r="U43" i="79"/>
  <c r="S44" i="79"/>
  <c r="W44" i="79"/>
  <c r="U45" i="79"/>
  <c r="S46" i="79"/>
  <c r="W46" i="79"/>
  <c r="U27" i="79"/>
  <c r="S32" i="79"/>
  <c r="S36" i="79"/>
  <c r="U36" i="79"/>
  <c r="W36" i="79"/>
  <c r="B7" i="4"/>
  <c r="D7" i="71"/>
  <c r="AH5" i="71"/>
  <c r="AG5" i="71"/>
  <c r="AE5" i="71"/>
  <c r="AF5" i="71"/>
  <c r="AD5" i="71"/>
  <c r="Q5" i="71"/>
  <c r="P5" i="71"/>
  <c r="O5" i="71"/>
  <c r="N5" i="71"/>
  <c r="L3" i="71"/>
  <c r="K3" i="71"/>
  <c r="I3" i="71"/>
  <c r="J3" i="71"/>
  <c r="AD6" i="71"/>
  <c r="AG6" i="71"/>
  <c r="AH6" i="71"/>
  <c r="AE6" i="71"/>
  <c r="AF6" i="71"/>
  <c r="N6" i="71"/>
  <c r="Q6" i="71"/>
  <c r="P6" i="71"/>
  <c r="E6" i="71"/>
  <c r="O6" i="71"/>
  <c r="C6" i="71"/>
  <c r="T6" i="71"/>
  <c r="Q7" i="71"/>
  <c r="F6" i="71"/>
  <c r="F5" i="71"/>
  <c r="P7" i="71"/>
  <c r="O7" i="71"/>
  <c r="N7" i="71"/>
  <c r="B6" i="71"/>
  <c r="S6" i="71"/>
  <c r="D6" i="71"/>
  <c r="U6"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c r="C50" i="71"/>
  <c r="B50" i="71"/>
  <c r="S50" i="71"/>
  <c r="B49"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E41" i="71"/>
  <c r="E42" i="71"/>
  <c r="U42" i="71"/>
  <c r="O40" i="71"/>
  <c r="N40" i="71"/>
  <c r="Q39" i="71"/>
  <c r="F40" i="71"/>
  <c r="F41" i="71"/>
  <c r="F42" i="71"/>
  <c r="V42" i="71"/>
  <c r="P39" i="71"/>
  <c r="E40" i="71"/>
  <c r="O39" i="71"/>
  <c r="C40" i="71"/>
  <c r="C41" i="71"/>
  <c r="N39" i="71"/>
  <c r="B40"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C29" i="71"/>
  <c r="D29"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P19" i="71"/>
  <c r="AA19" i="71"/>
  <c r="O19" i="71"/>
  <c r="N19" i="71"/>
  <c r="B20" i="71"/>
  <c r="B21" i="71"/>
  <c r="B22" i="71"/>
  <c r="S22" i="71"/>
  <c r="D19" i="71"/>
  <c r="Q18" i="71"/>
  <c r="AB18" i="71"/>
  <c r="P18" i="71"/>
  <c r="O18" i="71"/>
  <c r="Y18" i="71"/>
  <c r="Z18" i="71"/>
  <c r="N18" i="71"/>
  <c r="Q17" i="71"/>
  <c r="AB17" i="71"/>
  <c r="P17" i="71"/>
  <c r="O17" i="71"/>
  <c r="Y17" i="71"/>
  <c r="Z17" i="71"/>
  <c r="N17" i="71"/>
  <c r="Q16" i="71"/>
  <c r="AB16" i="71"/>
  <c r="P16" i="71"/>
  <c r="O16" i="71"/>
  <c r="Y16" i="71"/>
  <c r="Z16" i="71"/>
  <c r="N16" i="71"/>
  <c r="Q15" i="71"/>
  <c r="F16" i="71"/>
  <c r="P15" i="71"/>
  <c r="E16" i="71"/>
  <c r="E17" i="71"/>
  <c r="E18" i="71"/>
  <c r="U18" i="71"/>
  <c r="O15" i="71"/>
  <c r="N15" i="71"/>
  <c r="X15" i="71"/>
  <c r="D15" i="71"/>
  <c r="Q14" i="71"/>
  <c r="AB14" i="71"/>
  <c r="P14" i="71"/>
  <c r="O14" i="71"/>
  <c r="Y14" i="71"/>
  <c r="Z14" i="71"/>
  <c r="N14" i="71"/>
  <c r="X13" i="71"/>
  <c r="Q13" i="71"/>
  <c r="AB13" i="71"/>
  <c r="P13" i="71"/>
  <c r="O13" i="71"/>
  <c r="Y13" i="71"/>
  <c r="Z13" i="71"/>
  <c r="N13" i="71"/>
  <c r="Q12" i="71"/>
  <c r="AB12" i="71"/>
  <c r="P12" i="71"/>
  <c r="O12" i="71"/>
  <c r="Y12" i="71"/>
  <c r="Z12" i="71"/>
  <c r="N12" i="71"/>
  <c r="X12" i="71"/>
  <c r="Q11" i="71"/>
  <c r="F12" i="71"/>
  <c r="P11" i="71"/>
  <c r="E12" i="71"/>
  <c r="E13" i="71"/>
  <c r="E14" i="71"/>
  <c r="U14" i="71"/>
  <c r="O11" i="71"/>
  <c r="N11" i="71"/>
  <c r="X11" i="71"/>
  <c r="D11" i="71"/>
  <c r="O10" i="71"/>
  <c r="C10" i="71"/>
  <c r="N10" i="71"/>
  <c r="B12" i="71"/>
  <c r="B13" i="71"/>
  <c r="B14" i="71"/>
  <c r="S14" i="71"/>
  <c r="B16" i="71"/>
  <c r="B17" i="71"/>
  <c r="B18" i="71"/>
  <c r="S18" i="71"/>
  <c r="E20" i="71"/>
  <c r="E21" i="71"/>
  <c r="E22" i="71"/>
  <c r="U22" i="71"/>
  <c r="N50" i="71"/>
  <c r="AA15" i="71"/>
  <c r="C12" i="71"/>
  <c r="Y11" i="71"/>
  <c r="Z11" i="71"/>
  <c r="AA12" i="71"/>
  <c r="AA14" i="71"/>
  <c r="C16" i="71"/>
  <c r="C17" i="71"/>
  <c r="D17" i="71"/>
  <c r="X16" i="71"/>
  <c r="X17" i="71"/>
  <c r="X18" i="71"/>
  <c r="C20" i="71"/>
  <c r="C21" i="71"/>
  <c r="X20" i="71"/>
  <c r="AA20" i="71"/>
  <c r="Y3" i="71"/>
  <c r="Z3" i="71"/>
  <c r="Y8" i="71"/>
  <c r="Z8" i="71"/>
  <c r="Y10" i="71"/>
  <c r="Z10" i="71"/>
  <c r="B10" i="71"/>
  <c r="B9" i="71"/>
  <c r="B8" i="71"/>
  <c r="X7" i="71"/>
  <c r="X9" i="71"/>
  <c r="X10" i="71"/>
  <c r="D12" i="71"/>
  <c r="D16" i="71"/>
  <c r="D20" i="71"/>
  <c r="C25" i="71"/>
  <c r="D24" i="71"/>
  <c r="D28" i="71"/>
  <c r="C33" i="71"/>
  <c r="C34" i="71"/>
  <c r="D32" i="71"/>
  <c r="P10" i="71"/>
  <c r="E10" i="71"/>
  <c r="U50" i="71"/>
  <c r="E49" i="71"/>
  <c r="P49" i="71"/>
  <c r="Q10" i="71"/>
  <c r="F10" i="71"/>
  <c r="F9" i="71"/>
  <c r="F8" i="71"/>
  <c r="D40" i="71"/>
  <c r="N49" i="71"/>
  <c r="B48" i="71"/>
  <c r="N47"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S10" i="71"/>
  <c r="AB7" i="71"/>
  <c r="AB9" i="71"/>
  <c r="AA3" i="71"/>
  <c r="AA10" i="71"/>
  <c r="C56" i="71"/>
  <c r="D56" i="71"/>
  <c r="N48" i="71"/>
  <c r="D69" i="71"/>
  <c r="C68" i="71"/>
  <c r="D68" i="71"/>
  <c r="C60" i="71"/>
  <c r="D60" i="71"/>
  <c r="E48" i="71"/>
  <c r="P47" i="71"/>
  <c r="C26" i="71"/>
  <c r="T26" i="71"/>
  <c r="D25" i="71"/>
  <c r="C18" i="71"/>
  <c r="T18" i="71"/>
  <c r="P48" i="71"/>
  <c r="D1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S21" i="33"/>
  <c r="E83" i="21"/>
  <c r="F83" i="21"/>
  <c r="S21" i="21"/>
  <c r="H1" i="69"/>
  <c r="AC25" i="40"/>
  <c r="W25" i="40"/>
  <c r="AB25" i="40"/>
  <c r="U25" i="40"/>
  <c r="AB29" i="39"/>
  <c r="U29" i="39"/>
  <c r="W29" i="39"/>
  <c r="W18" i="36"/>
  <c r="AB21" i="37"/>
  <c r="U21" i="37"/>
  <c r="S21" i="37"/>
  <c r="AA21" i="33"/>
  <c r="U18" i="35"/>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W21" i="21"/>
  <c r="C40" i="69"/>
  <c r="F38" i="68"/>
  <c r="E37" i="68"/>
  <c r="F36" i="68"/>
  <c r="F35" i="68"/>
  <c r="F21" i="68"/>
  <c r="C21" i="68"/>
  <c r="F20" i="68"/>
  <c r="E10" i="68"/>
  <c r="E9" i="68"/>
  <c r="F7" i="68"/>
  <c r="C7" i="68"/>
  <c r="AC21" i="21"/>
  <c r="Q72" i="67"/>
  <c r="Q59" i="67"/>
  <c r="Q58" i="67"/>
  <c r="Q51" i="67"/>
  <c r="J50" i="67"/>
  <c r="M47" i="67"/>
  <c r="D46" i="67"/>
  <c r="F33" i="67"/>
  <c r="F61" i="67"/>
  <c r="F23" i="67"/>
  <c r="D22" i="67"/>
  <c r="F21" i="67"/>
  <c r="F20" i="67"/>
  <c r="M19" i="67"/>
  <c r="F18" i="67"/>
  <c r="F17" i="67"/>
  <c r="F15" i="67"/>
  <c r="S2" i="4"/>
  <c r="C51" i="10"/>
  <c r="A13" i="51"/>
  <c r="B11" i="72"/>
  <c r="S1" i="4"/>
  <c r="B1" i="4"/>
  <c r="C31" i="66"/>
  <c r="C27" i="66"/>
  <c r="C32" i="66"/>
  <c r="I23" i="66"/>
  <c r="D20" i="66"/>
  <c r="I19" i="66"/>
  <c r="I18" i="66"/>
  <c r="I17" i="66"/>
  <c r="I20" i="66"/>
  <c r="E15" i="66"/>
  <c r="I14" i="66"/>
  <c r="I13" i="66"/>
  <c r="I12"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7" i="3"/>
  <c r="BS13" i="3"/>
  <c r="BS17" i="3"/>
  <c r="BR17" i="3"/>
  <c r="BT13" i="3"/>
  <c r="BT17" i="3"/>
  <c r="BM17" i="3"/>
  <c r="BO13" i="3"/>
  <c r="BO17" i="3"/>
  <c r="BN13" i="3"/>
  <c r="BN17" i="3"/>
  <c r="BP13" i="3"/>
  <c r="BP17" i="3"/>
  <c r="E20" i="6"/>
  <c r="E21" i="6"/>
  <c r="K8" i="1"/>
  <c r="M8" i="1"/>
  <c r="O8" i="1"/>
  <c r="P8" i="1"/>
  <c r="F23" i="15"/>
  <c r="D24" i="15"/>
  <c r="E22" i="6"/>
  <c r="E23" i="6"/>
  <c r="E24" i="6"/>
  <c r="E25" i="6"/>
  <c r="E26" i="6"/>
  <c r="BB13" i="3"/>
  <c r="BC13" i="3"/>
  <c r="BD13" i="3"/>
  <c r="BE13" i="3"/>
  <c r="BF13" i="3"/>
  <c r="BG13" i="3"/>
  <c r="BH13" i="3"/>
  <c r="BI13" i="3"/>
  <c r="BJ13" i="3"/>
  <c r="BK13"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S36" i="39"/>
  <c r="J30" i="36"/>
  <c r="H30" i="36"/>
  <c r="U30" i="36"/>
  <c r="F30" i="36"/>
  <c r="AA30" i="36"/>
  <c r="C26" i="35"/>
  <c r="C79" i="35"/>
  <c r="J31" i="35"/>
  <c r="W31" i="35"/>
  <c r="H31" i="35"/>
  <c r="U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1" i="33"/>
  <c r="E111" i="33"/>
  <c r="F111" i="33"/>
  <c r="G111" i="33"/>
  <c r="H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E109" i="39"/>
  <c r="F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B108" i="37"/>
  <c r="C23" i="37"/>
  <c r="C19" i="37"/>
  <c r="C17" i="37"/>
  <c r="C15" i="37"/>
  <c r="B112" i="37"/>
  <c r="D107" i="37"/>
  <c r="E107" i="37"/>
  <c r="D105" i="37"/>
  <c r="E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F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H12" i="35"/>
  <c r="U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J42" i="33"/>
  <c r="AC42"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Q39" i="33"/>
  <c r="Z39" i="33"/>
  <c r="J39" i="33"/>
  <c r="AC39" i="33"/>
  <c r="Q38" i="33"/>
  <c r="Z38" i="33"/>
  <c r="H38" i="33"/>
  <c r="AB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H36" i="39"/>
  <c r="AB36" i="39"/>
  <c r="J35" i="39"/>
  <c r="AC35" i="39"/>
  <c r="F35" i="39"/>
  <c r="U9" i="39"/>
  <c r="U30" i="37"/>
  <c r="W31" i="37"/>
  <c r="E103" i="37"/>
  <c r="F103" i="37"/>
  <c r="G103" i="37"/>
  <c r="H103" i="37"/>
  <c r="I103" i="37"/>
  <c r="J103" i="37"/>
  <c r="K103" i="37"/>
  <c r="L103" i="37"/>
  <c r="M103" i="37"/>
  <c r="F29" i="36"/>
  <c r="AA29" i="36"/>
  <c r="W8" i="36"/>
  <c r="F16" i="36"/>
  <c r="AA16" i="36"/>
  <c r="U9" i="36"/>
  <c r="S30" i="36"/>
  <c r="AA31" i="36"/>
  <c r="AC31" i="36"/>
  <c r="W31" i="36"/>
  <c r="U31" i="36"/>
  <c r="J33" i="36"/>
  <c r="W33" i="36"/>
  <c r="H22" i="35"/>
  <c r="AB22" i="35"/>
  <c r="AC27" i="35"/>
  <c r="W28" i="35"/>
  <c r="W22" i="35"/>
  <c r="S31" i="35"/>
  <c r="F36" i="34"/>
  <c r="S36" i="34"/>
  <c r="J35" i="34"/>
  <c r="S34" i="34"/>
  <c r="H39" i="33"/>
  <c r="AB39" i="33"/>
  <c r="S9" i="33"/>
  <c r="W33" i="33"/>
  <c r="S27" i="35"/>
  <c r="F11" i="40"/>
  <c r="AA11" i="40"/>
  <c r="H11" i="40"/>
  <c r="AB11" i="40"/>
  <c r="W8" i="40"/>
  <c r="AC40" i="40"/>
  <c r="AA9" i="40"/>
  <c r="AC9" i="40"/>
  <c r="S34" i="40"/>
  <c r="S40" i="40"/>
  <c r="U34" i="40"/>
  <c r="U40" i="40"/>
  <c r="F42" i="39"/>
  <c r="AA42" i="39"/>
  <c r="F41" i="39"/>
  <c r="S41" i="39"/>
  <c r="H40" i="39"/>
  <c r="AB40" i="39"/>
  <c r="H39" i="39"/>
  <c r="U39" i="39"/>
  <c r="S38" i="39"/>
  <c r="S34" i="39"/>
  <c r="H34" i="39"/>
  <c r="U34"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G109" i="39"/>
  <c r="H109" i="39"/>
  <c r="I109" i="39"/>
  <c r="J109" i="39"/>
  <c r="K109" i="39"/>
  <c r="L109" i="39"/>
  <c r="M109" i="39"/>
  <c r="J31" i="39"/>
  <c r="H27" i="39"/>
  <c r="U27" i="39"/>
  <c r="J19" i="39"/>
  <c r="AC19" i="39"/>
  <c r="J17" i="39"/>
  <c r="J27" i="39"/>
  <c r="AC27" i="39"/>
  <c r="F27" i="39"/>
  <c r="S27" i="39"/>
  <c r="F11" i="21"/>
  <c r="S11" i="21"/>
  <c r="S40" i="21"/>
  <c r="S34" i="21"/>
  <c r="C27" i="39"/>
  <c r="H11" i="39"/>
  <c r="S40" i="39"/>
  <c r="H32" i="33"/>
  <c r="AB32" i="33"/>
  <c r="H11" i="21"/>
  <c r="U11" i="21"/>
  <c r="J11" i="21"/>
  <c r="W11" i="21"/>
  <c r="H37" i="40"/>
  <c r="U37" i="40"/>
  <c r="H36" i="40"/>
  <c r="AB36" i="40"/>
  <c r="F35" i="40"/>
  <c r="AA35" i="40"/>
  <c r="H23" i="40"/>
  <c r="AB23" i="40"/>
  <c r="H17" i="40"/>
  <c r="U17" i="40"/>
  <c r="J15" i="40"/>
  <c r="W15" i="40"/>
  <c r="J11" i="40"/>
  <c r="AB12" i="33"/>
  <c r="AB12" i="35"/>
  <c r="W32" i="40"/>
  <c r="F37" i="39"/>
  <c r="AA37" i="39"/>
  <c r="J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U8" i="35"/>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B34" i="37"/>
  <c r="J33" i="37"/>
  <c r="U42" i="34"/>
  <c r="H40" i="34"/>
  <c r="U40" i="34"/>
  <c r="E114" i="34"/>
  <c r="F114" i="34"/>
  <c r="G114" i="34"/>
  <c r="H114" i="34"/>
  <c r="I114" i="34"/>
  <c r="J114" i="34"/>
  <c r="K114" i="34"/>
  <c r="L114" i="34"/>
  <c r="M114" i="34"/>
  <c r="H36" i="34"/>
  <c r="U36" i="34"/>
  <c r="F37" i="34"/>
  <c r="AA37" i="34"/>
  <c r="F28" i="34"/>
  <c r="F27" i="34"/>
  <c r="AA27" i="34"/>
  <c r="F25" i="34"/>
  <c r="S25" i="34"/>
  <c r="H23" i="34"/>
  <c r="J23" i="34"/>
  <c r="W23" i="34"/>
  <c r="F19" i="34"/>
  <c r="H17" i="34"/>
  <c r="U17" i="34"/>
  <c r="F15" i="34"/>
  <c r="AA15" i="34"/>
  <c r="J15" i="34"/>
  <c r="H15" i="34"/>
  <c r="AB15" i="34"/>
  <c r="S9" i="34"/>
  <c r="W8" i="34"/>
  <c r="J28" i="34"/>
  <c r="W28" i="34"/>
  <c r="F41" i="33"/>
  <c r="AA41" i="33"/>
  <c r="F113" i="33"/>
  <c r="G113" i="33"/>
  <c r="H113" i="33"/>
  <c r="I113" i="33"/>
  <c r="J113" i="33"/>
  <c r="K113" i="33"/>
  <c r="L113" i="33"/>
  <c r="M113" i="33"/>
  <c r="J19" i="33"/>
  <c r="AC19" i="33"/>
  <c r="J15" i="33"/>
  <c r="AC15" i="33"/>
  <c r="F11" i="33"/>
  <c r="AA11" i="33"/>
  <c r="W40" i="33"/>
  <c r="S8" i="33"/>
  <c r="F37" i="40"/>
  <c r="AA37" i="40"/>
  <c r="F36" i="40"/>
  <c r="AA36" i="40"/>
  <c r="H28" i="40"/>
  <c r="U28" i="40"/>
  <c r="F23" i="40"/>
  <c r="AA23" i="40"/>
  <c r="F17" i="40"/>
  <c r="AA17" i="40"/>
  <c r="J17" i="40"/>
  <c r="W17" i="40"/>
  <c r="F15" i="40"/>
  <c r="S15" i="40"/>
  <c r="H15" i="40"/>
  <c r="AB15" i="40"/>
  <c r="S12" i="36"/>
  <c r="AB30" i="36"/>
  <c r="U30" i="35"/>
  <c r="U33" i="35"/>
  <c r="F29" i="35"/>
  <c r="S29" i="35"/>
  <c r="H29" i="35"/>
  <c r="AB29" i="35"/>
  <c r="H33" i="37"/>
  <c r="AB33" i="37"/>
  <c r="F33" i="37"/>
  <c r="AA33" i="37"/>
  <c r="U34" i="37"/>
  <c r="S34" i="37"/>
  <c r="AA34" i="37"/>
  <c r="J43" i="34"/>
  <c r="AB42" i="34"/>
  <c r="J40" i="34"/>
  <c r="H38" i="34"/>
  <c r="AB38" i="34"/>
  <c r="J36" i="34"/>
  <c r="W36" i="34"/>
  <c r="H37" i="34"/>
  <c r="U37" i="34"/>
  <c r="H25" i="34"/>
  <c r="AB25" i="34"/>
  <c r="J25" i="34"/>
  <c r="AC25" i="34"/>
  <c r="F23" i="34"/>
  <c r="AA23" i="34"/>
  <c r="J19" i="34"/>
  <c r="AC19" i="34"/>
  <c r="F17" i="34"/>
  <c r="AA17" i="34"/>
  <c r="J17" i="34"/>
  <c r="W17" i="34"/>
  <c r="S15" i="34"/>
  <c r="H15" i="33"/>
  <c r="AB15" i="33"/>
  <c r="H11" i="33"/>
  <c r="AB11" i="33"/>
  <c r="F28" i="40"/>
  <c r="AA28" i="40"/>
  <c r="AA29" i="35"/>
  <c r="AA42" i="34"/>
  <c r="S42" i="34"/>
  <c r="AC38" i="34"/>
  <c r="AA38" i="34"/>
  <c r="J37" i="34"/>
  <c r="AC37" i="34"/>
  <c r="J11" i="33"/>
  <c r="W11" i="33"/>
  <c r="U23" i="40"/>
  <c r="J42" i="21"/>
  <c r="AC42" i="21"/>
  <c r="H42" i="21"/>
  <c r="U42" i="21"/>
  <c r="J44" i="34"/>
  <c r="F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AB14" i="34"/>
  <c r="H30" i="34"/>
  <c r="F30" i="34"/>
  <c r="S30" i="34"/>
  <c r="J30" i="34"/>
  <c r="W30" i="34"/>
  <c r="H32" i="34"/>
  <c r="AB32" i="34"/>
  <c r="F32" i="34"/>
  <c r="J32" i="34"/>
  <c r="W32" i="34"/>
  <c r="H46" i="34"/>
  <c r="F46" i="34"/>
  <c r="AA46" i="34"/>
  <c r="J46" i="34"/>
  <c r="H11" i="35"/>
  <c r="J11" i="35"/>
  <c r="AC11" i="35"/>
  <c r="F11" i="35"/>
  <c r="S11" i="35"/>
  <c r="J26" i="36"/>
  <c r="W26" i="36"/>
  <c r="H28" i="36"/>
  <c r="U28" i="36"/>
  <c r="H32" i="36"/>
  <c r="AB32" i="36"/>
  <c r="J32" i="36"/>
  <c r="W32" i="36"/>
  <c r="J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c r="J13" i="39"/>
  <c r="W13" i="39"/>
  <c r="H13" i="39"/>
  <c r="AB13" i="39"/>
  <c r="H14" i="40"/>
  <c r="AB14" i="40"/>
  <c r="J14" i="40"/>
  <c r="W14" i="40"/>
  <c r="F14" i="40"/>
  <c r="AA14" i="40"/>
  <c r="J14" i="37"/>
  <c r="AC14" i="37"/>
  <c r="J27" i="37"/>
  <c r="AC27" i="37"/>
  <c r="AA44" i="33"/>
  <c r="AA13" i="35"/>
  <c r="U31" i="34"/>
  <c r="U46" i="33"/>
  <c r="AA14" i="33"/>
  <c r="J36" i="37"/>
  <c r="AC36" i="37"/>
  <c r="J10" i="36"/>
  <c r="AC10" i="36"/>
  <c r="W31" i="34"/>
  <c r="AC13" i="36"/>
  <c r="S11" i="36"/>
  <c r="W11" i="35"/>
  <c r="AC30" i="34"/>
  <c r="S45" i="33"/>
  <c r="AB31" i="33"/>
  <c r="W29" i="33"/>
  <c r="AC28" i="21"/>
  <c r="BA586" i="3"/>
  <c r="F17" i="21"/>
  <c r="AA17" i="21"/>
  <c r="H17" i="21"/>
  <c r="AB17" i="21"/>
  <c r="F15" i="21"/>
  <c r="S15" i="21"/>
  <c r="AB11" i="21"/>
  <c r="J41" i="39"/>
  <c r="W41" i="39"/>
  <c r="AC45"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BA583" i="3"/>
  <c r="BA581" i="3"/>
  <c r="BA579" i="3"/>
  <c r="AZ579" i="3"/>
  <c r="BA577" i="3"/>
  <c r="BA575" i="3"/>
  <c r="BA573" i="3"/>
  <c r="BA571" i="3"/>
  <c r="BA569" i="3"/>
  <c r="BA567" i="3"/>
  <c r="BA565" i="3"/>
  <c r="BA563" i="3"/>
  <c r="AZ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BQ541" i="3"/>
  <c r="BL541" i="3"/>
  <c r="AZ541" i="3"/>
  <c r="BQ539" i="3"/>
  <c r="BL539" i="3"/>
  <c r="AZ539" i="3"/>
  <c r="BQ537" i="3"/>
  <c r="BL537" i="3"/>
  <c r="AZ537" i="3"/>
  <c r="BQ535" i="3"/>
  <c r="BL535" i="3"/>
  <c r="BQ533" i="3"/>
  <c r="BL533" i="3"/>
  <c r="AZ533" i="3"/>
  <c r="BQ531" i="3"/>
  <c r="BL531" i="3"/>
  <c r="AZ531" i="3"/>
  <c r="BQ529" i="3"/>
  <c r="BL529" i="3"/>
  <c r="AZ529" i="3"/>
  <c r="BQ527" i="3"/>
  <c r="BL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BQ505" i="3"/>
  <c r="BL505" i="3"/>
  <c r="AZ505" i="3"/>
  <c r="BQ503" i="3"/>
  <c r="BL503" i="3"/>
  <c r="AZ503" i="3"/>
  <c r="BQ501" i="3"/>
  <c r="BL501" i="3"/>
  <c r="BQ499" i="3"/>
  <c r="BL499" i="3"/>
  <c r="BQ497" i="3"/>
  <c r="BL497" i="3"/>
  <c r="AZ497" i="3"/>
  <c r="BQ495" i="3"/>
  <c r="BL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3" i="36"/>
  <c r="U35" i="35"/>
  <c r="AA12" i="35"/>
  <c r="W14" i="37"/>
  <c r="AB28" i="37"/>
  <c r="U33" i="37"/>
  <c r="W26" i="37"/>
  <c r="AC8" i="37"/>
  <c r="U26" i="37"/>
  <c r="W47" i="34"/>
  <c r="AB13" i="34"/>
  <c r="W37" i="34"/>
  <c r="AB37" i="34"/>
  <c r="AC36" i="34"/>
  <c r="AA13"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W23" i="39"/>
  <c r="AC43" i="39"/>
  <c r="W43" i="39"/>
  <c r="U45" i="39"/>
  <c r="AB45" i="39"/>
  <c r="AB44" i="39"/>
  <c r="U44" i="39"/>
  <c r="H37" i="39"/>
  <c r="AB37" i="39"/>
  <c r="AC37" i="39"/>
  <c r="W37" i="39"/>
  <c r="H25" i="39"/>
  <c r="AB25" i="39"/>
  <c r="J25" i="39"/>
  <c r="AC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C46" i="36"/>
  <c r="D46" i="36"/>
  <c r="E46" i="36"/>
  <c r="F46" i="36"/>
  <c r="G46" i="36"/>
  <c r="H46" i="36"/>
  <c r="W35" i="40"/>
  <c r="A118" i="9"/>
  <c r="A4" i="52"/>
  <c r="B41" i="72"/>
  <c r="J11" i="39"/>
  <c r="W11" i="39"/>
  <c r="F11" i="39"/>
  <c r="AA11" i="39"/>
  <c r="A12" i="52"/>
  <c r="B56" i="72"/>
  <c r="S11" i="39"/>
  <c r="G4" i="4"/>
  <c r="I4" i="4"/>
  <c r="K5" i="4"/>
  <c r="B47" i="48"/>
  <c r="A2" i="9"/>
  <c r="N2" i="43"/>
  <c r="F59" i="43"/>
  <c r="H62" i="43"/>
  <c r="AZ20" i="3"/>
  <c r="AZ32" i="3"/>
  <c r="BL549" i="3"/>
  <c r="AZ549" i="3"/>
  <c r="AZ494" i="3"/>
  <c r="AZ502" i="3"/>
  <c r="AZ514" i="3"/>
  <c r="AZ522" i="3"/>
  <c r="AZ530" i="3"/>
  <c r="AZ546" i="3"/>
  <c r="G546" i="3"/>
  <c r="G524" i="3"/>
  <c r="G303" i="3"/>
  <c r="BL304" i="3"/>
  <c r="G305" i="3"/>
  <c r="BL306" i="3"/>
  <c r="BA308" i="3"/>
  <c r="BA309" i="3"/>
  <c r="BL309" i="3"/>
  <c r="AZ309" i="3"/>
  <c r="G310" i="3"/>
  <c r="BA311" i="3"/>
  <c r="AZ311" i="3"/>
  <c r="G319" i="3"/>
  <c r="BL320" i="3"/>
  <c r="G321" i="3"/>
  <c r="BL322" i="3"/>
  <c r="BA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AZ115" i="3"/>
  <c r="BL116" i="3"/>
  <c r="G117" i="3"/>
  <c r="BA119" i="3"/>
  <c r="AZ119" i="3"/>
  <c r="BL120" i="3"/>
  <c r="G121" i="3"/>
  <c r="BA123" i="3"/>
  <c r="BL124" i="3"/>
  <c r="AZ124" i="3"/>
  <c r="G125" i="3"/>
  <c r="BA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G157" i="3"/>
  <c r="BA159" i="3"/>
  <c r="AZ159" i="3"/>
  <c r="BL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AZ184" i="3"/>
  <c r="G185" i="3"/>
  <c r="BA187" i="3"/>
  <c r="AZ187" i="3"/>
  <c r="BL188" i="3"/>
  <c r="G189" i="3"/>
  <c r="BA191" i="3"/>
  <c r="AZ191" i="3"/>
  <c r="BL192" i="3"/>
  <c r="G193" i="3"/>
  <c r="BA195" i="3"/>
  <c r="AZ195" i="3"/>
  <c r="BL196" i="3"/>
  <c r="AZ196" i="3"/>
  <c r="G197" i="3"/>
  <c r="BA199" i="3"/>
  <c r="AZ199" i="3"/>
  <c r="BL200" i="3"/>
  <c r="G201" i="3"/>
  <c r="BA203" i="3"/>
  <c r="AZ203" i="3"/>
  <c r="BL204" i="3"/>
  <c r="AZ51" i="3"/>
  <c r="AZ55" i="3"/>
  <c r="AZ67" i="3"/>
  <c r="AZ75"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BA364" i="3"/>
  <c r="BL364" i="3"/>
  <c r="AZ364" i="3"/>
  <c r="G365" i="3"/>
  <c r="G368" i="3"/>
  <c r="BL369" i="3"/>
  <c r="BA371" i="3"/>
  <c r="AZ371" i="3"/>
  <c r="BA372" i="3"/>
  <c r="AZ372" i="3"/>
  <c r="BL372" i="3"/>
  <c r="G373" i="3"/>
  <c r="G376" i="3"/>
  <c r="BL377" i="3"/>
  <c r="BL379" i="3"/>
  <c r="BA381" i="3"/>
  <c r="BA382" i="3"/>
  <c r="AZ382" i="3"/>
  <c r="BL382" i="3"/>
  <c r="G383" i="3"/>
  <c r="G386" i="3"/>
  <c r="BL387" i="3"/>
  <c r="BA389" i="3"/>
  <c r="AZ389" i="3"/>
  <c r="BA390" i="3"/>
  <c r="BL390" i="3"/>
  <c r="AZ390" i="3"/>
  <c r="G391" i="3"/>
  <c r="G394" i="3"/>
  <c r="AZ138" i="3"/>
  <c r="AZ142" i="3"/>
  <c r="AZ146" i="3"/>
  <c r="AZ150" i="3"/>
  <c r="AZ158" i="3"/>
  <c r="AZ162" i="3"/>
  <c r="AZ166" i="3"/>
  <c r="AZ174" i="3"/>
  <c r="AZ178" i="3"/>
  <c r="AZ182" i="3"/>
  <c r="AZ190" i="3"/>
  <c r="AZ194" i="3"/>
  <c r="AZ198" i="3"/>
  <c r="AZ500" i="3"/>
  <c r="BL303" i="3"/>
  <c r="AZ303" i="3"/>
  <c r="G304" i="3"/>
  <c r="BA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G328" i="3"/>
  <c r="BA330" i="3"/>
  <c r="BL331" i="3"/>
  <c r="AZ331" i="3"/>
  <c r="G332" i="3"/>
  <c r="BA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AZ295" i="3"/>
  <c r="AZ299" i="3"/>
  <c r="BO5" i="3"/>
  <c r="BM5" i="3"/>
  <c r="F29" i="6"/>
  <c r="BJ5" i="3"/>
  <c r="BH5" i="3"/>
  <c r="BF5" i="3"/>
  <c r="BD5" i="3"/>
  <c r="AZ333" i="3"/>
  <c r="AZ506" i="3"/>
  <c r="AZ496" i="3"/>
  <c r="G548" i="3"/>
  <c r="G538" i="3"/>
  <c r="G520" i="3"/>
  <c r="G502" i="3"/>
  <c r="BP5" i="3"/>
  <c r="BN5" i="3"/>
  <c r="G29" i="6"/>
  <c r="G30" i="6"/>
  <c r="G31" i="6"/>
  <c r="AZ343" i="3"/>
  <c r="BK5" i="3"/>
  <c r="BI5" i="3"/>
  <c r="BG5" i="3"/>
  <c r="BE5" i="3"/>
  <c r="BC5" i="3"/>
  <c r="G17" i="3"/>
  <c r="BA17" i="3"/>
  <c r="AZ350" i="3"/>
  <c r="AZ356" i="3"/>
  <c r="AZ368" i="3"/>
  <c r="E15" i="6"/>
  <c r="AZ384" i="3"/>
  <c r="AZ388" i="3"/>
  <c r="AZ392" i="3"/>
  <c r="AZ499" i="3"/>
  <c r="G509" i="3"/>
  <c r="BL493" i="3"/>
  <c r="AZ493" i="3"/>
  <c r="AZ491" i="3"/>
  <c r="AZ376"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AC11" i="39"/>
  <c r="AZ501" i="3"/>
  <c r="W37" i="37"/>
  <c r="W44" i="34"/>
  <c r="AC44" i="34"/>
  <c r="S15" i="37"/>
  <c r="U13" i="37"/>
  <c r="U12" i="40"/>
  <c r="W37"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15" i="3"/>
  <c r="AZ227" i="3"/>
  <c r="AZ240" i="3"/>
  <c r="AZ243" i="3"/>
  <c r="AZ256" i="3"/>
  <c r="AZ259" i="3"/>
  <c r="AZ268" i="3"/>
  <c r="AZ117" i="3"/>
  <c r="AZ130" i="3"/>
  <c r="AZ21" i="3"/>
  <c r="AZ42" i="3"/>
  <c r="AZ53" i="3"/>
  <c r="AZ66" i="3"/>
  <c r="AZ69" i="3"/>
  <c r="AZ102" i="3"/>
  <c r="AZ110" i="3"/>
  <c r="H74" i="43"/>
  <c r="H49" i="43"/>
  <c r="I20" i="43"/>
  <c r="C20" i="43"/>
  <c r="F23" i="39"/>
  <c r="AA23" i="39"/>
  <c r="H27" i="36"/>
  <c r="U27" i="36"/>
  <c r="F27" i="36"/>
  <c r="AA27" i="36"/>
  <c r="H33" i="34"/>
  <c r="U33" i="34"/>
  <c r="F32" i="37"/>
  <c r="AA32" i="37"/>
  <c r="F20" i="36"/>
  <c r="AA20" i="36"/>
  <c r="J33" i="34"/>
  <c r="AC33" i="34"/>
  <c r="H23" i="39"/>
  <c r="U23" i="39"/>
  <c r="H86" i="43"/>
  <c r="H82" i="43"/>
  <c r="H87" i="43"/>
  <c r="K9" i="1"/>
  <c r="M9" i="1"/>
  <c r="O9" i="1"/>
  <c r="P9" i="1"/>
  <c r="AE9" i="1"/>
  <c r="D93" i="9"/>
  <c r="E12" i="6"/>
  <c r="E62" i="39"/>
  <c r="AC26" i="33"/>
  <c r="W27" i="34"/>
  <c r="AC27" i="34"/>
  <c r="AB34" i="36"/>
  <c r="U34" i="36"/>
  <c r="AB33" i="36"/>
  <c r="U33" i="36"/>
  <c r="AC39" i="40"/>
  <c r="W39" i="40"/>
  <c r="AZ401" i="3"/>
  <c r="AZ412" i="3"/>
  <c r="AZ417" i="3"/>
  <c r="AZ428" i="3"/>
  <c r="AZ433" i="3"/>
  <c r="W12" i="33"/>
  <c r="AC12" i="33"/>
  <c r="AA32" i="36"/>
  <c r="S32" i="36"/>
  <c r="AZ490" i="3"/>
  <c r="K14" i="1"/>
  <c r="M14" i="1"/>
  <c r="O14" i="1"/>
  <c r="AZ266" i="3"/>
  <c r="U30" i="33"/>
  <c r="AC13" i="34"/>
  <c r="AA47" i="34"/>
  <c r="W28" i="37"/>
  <c r="S19" i="39"/>
  <c r="F12" i="33"/>
  <c r="S12" i="33"/>
  <c r="H12" i="39"/>
  <c r="AB12" i="39"/>
  <c r="F39" i="40"/>
  <c r="AA39" i="40"/>
  <c r="AZ213" i="3"/>
  <c r="AZ224" i="3"/>
  <c r="AZ238" i="3"/>
  <c r="AZ254" i="3"/>
  <c r="AZ281" i="3"/>
  <c r="AZ297" i="3"/>
  <c r="AZ157" i="3"/>
  <c r="AZ173" i="3"/>
  <c r="AZ189" i="3"/>
  <c r="AZ19" i="3"/>
  <c r="S12" i="1"/>
  <c r="R12" i="1"/>
  <c r="B12" i="1"/>
  <c r="E12" i="1"/>
  <c r="S10" i="1"/>
  <c r="AQ10" i="1"/>
  <c r="R10" i="1"/>
  <c r="B10" i="1"/>
  <c r="E10" i="1"/>
  <c r="AZ80" i="3"/>
  <c r="K12" i="1"/>
  <c r="M12" i="1"/>
  <c r="S13" i="1"/>
  <c r="AR13" i="1"/>
  <c r="R13" i="1"/>
  <c r="S11" i="1"/>
  <c r="AQ11" i="1"/>
  <c r="R11" i="1"/>
  <c r="S9" i="1"/>
  <c r="AR9" i="1"/>
  <c r="R9" i="1"/>
  <c r="J51" i="67"/>
  <c r="C42" i="1"/>
  <c r="H100" i="43"/>
  <c r="C30" i="66"/>
  <c r="E26" i="66"/>
  <c r="AC34" i="33"/>
  <c r="AA34" i="33"/>
  <c r="B41" i="1"/>
  <c r="J100" i="43"/>
  <c r="AB37" i="40"/>
  <c r="S35" i="40"/>
  <c r="U35" i="40"/>
  <c r="AC36" i="40"/>
  <c r="AA32" i="40"/>
  <c r="S17" i="40"/>
  <c r="S23" i="40"/>
  <c r="AC17" i="40"/>
  <c r="AC15" i="40"/>
  <c r="S30" i="40"/>
  <c r="AA19" i="40"/>
  <c r="S28" i="40"/>
  <c r="U21" i="40"/>
  <c r="AB19" i="40"/>
  <c r="W42" i="39"/>
  <c r="W39" i="39"/>
  <c r="S43" i="39"/>
  <c r="S37" i="39"/>
  <c r="U35" i="39"/>
  <c r="F32" i="39"/>
  <c r="AA32" i="39"/>
  <c r="F107" i="39"/>
  <c r="G107" i="39"/>
  <c r="U25" i="39"/>
  <c r="AB27" i="39"/>
  <c r="S25" i="39"/>
  <c r="J21" i="39"/>
  <c r="F21" i="39"/>
  <c r="AA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AA25" i="36"/>
  <c r="U24" i="36"/>
  <c r="U23" i="36"/>
  <c r="AB20" i="36"/>
  <c r="U16" i="36"/>
  <c r="U10" i="36"/>
  <c r="AA25" i="35"/>
  <c r="S23" i="35"/>
  <c r="AB13" i="35"/>
  <c r="U29" i="35"/>
  <c r="U28" i="35"/>
  <c r="AB27" i="35"/>
  <c r="U32" i="35"/>
  <c r="AA33" i="35"/>
  <c r="AC30" i="35"/>
  <c r="S32" i="35"/>
  <c r="AA36" i="35"/>
  <c r="W32" i="35"/>
  <c r="S28" i="35"/>
  <c r="AB16" i="35"/>
  <c r="U22" i="35"/>
  <c r="AC20" i="35"/>
  <c r="S22" i="35"/>
  <c r="U14" i="35"/>
  <c r="AA10" i="35"/>
  <c r="AA11" i="35"/>
  <c r="S8" i="35"/>
  <c r="AC9" i="35"/>
  <c r="W9" i="35"/>
  <c r="AC12" i="35"/>
  <c r="W13" i="35"/>
  <c r="F9" i="35"/>
  <c r="S9" i="35"/>
  <c r="H9" i="35"/>
  <c r="F26" i="35"/>
  <c r="AA26" i="35"/>
  <c r="J26" i="35"/>
  <c r="W26" i="35"/>
  <c r="H26" i="35"/>
  <c r="AB40" i="37"/>
  <c r="W27" i="37"/>
  <c r="S26" i="37"/>
  <c r="AC9" i="37"/>
  <c r="AC29" i="37"/>
  <c r="U29" i="37"/>
  <c r="S32" i="37"/>
  <c r="AB31" i="37"/>
  <c r="W30" i="37"/>
  <c r="S36" i="37"/>
  <c r="AA38" i="37"/>
  <c r="U32" i="37"/>
  <c r="W38" i="37"/>
  <c r="AC35" i="37"/>
  <c r="S30" i="37"/>
  <c r="S37" i="37"/>
  <c r="AC15" i="37"/>
  <c r="J17" i="37"/>
  <c r="W17" i="37"/>
  <c r="F17" i="37"/>
  <c r="AA17" i="37"/>
  <c r="F19" i="37"/>
  <c r="S19" i="37"/>
  <c r="F23" i="37"/>
  <c r="S23" i="37"/>
  <c r="U23" i="37"/>
  <c r="U15" i="37"/>
  <c r="AC13" i="37"/>
  <c r="U9" i="37"/>
  <c r="AA13" i="37"/>
  <c r="AA12" i="37"/>
  <c r="H10" i="37"/>
  <c r="U10" i="37"/>
  <c r="F63" i="37"/>
  <c r="F11" i="37"/>
  <c r="S11" i="37"/>
  <c r="S27" i="34"/>
  <c r="AB8" i="34"/>
  <c r="AA33" i="34"/>
  <c r="U44" i="34"/>
  <c r="U43" i="34"/>
  <c r="AC39" i="34"/>
  <c r="W41" i="34"/>
  <c r="AC42" i="34"/>
  <c r="U39" i="34"/>
  <c r="S43" i="34"/>
  <c r="AB41" i="34"/>
  <c r="AA45" i="34"/>
  <c r="W34" i="34"/>
  <c r="U28" i="34"/>
  <c r="S17" i="34"/>
  <c r="AA29" i="34"/>
  <c r="U27" i="34"/>
  <c r="S23" i="34"/>
  <c r="U15" i="34"/>
  <c r="S10" i="34"/>
  <c r="S13" i="34"/>
  <c r="H67" i="34"/>
  <c r="I67" i="34"/>
  <c r="H10" i="34"/>
  <c r="F11" i="34"/>
  <c r="S11" i="34"/>
  <c r="F70" i="34"/>
  <c r="W42" i="33"/>
  <c r="AA35" i="33"/>
  <c r="S27" i="33"/>
  <c r="AA29" i="33"/>
  <c r="AB29" i="33"/>
  <c r="H41" i="33"/>
  <c r="U41" i="33"/>
  <c r="U42" i="33"/>
  <c r="S42" i="33"/>
  <c r="F36" i="33"/>
  <c r="AA36" i="33"/>
  <c r="J35" i="33"/>
  <c r="AC35" i="33"/>
  <c r="S37" i="33"/>
  <c r="J32" i="33"/>
  <c r="W32" i="33"/>
  <c r="S46" i="33"/>
  <c r="W43" i="33"/>
  <c r="S43" i="33"/>
  <c r="H27" i="33"/>
  <c r="AB27" i="33"/>
  <c r="H25" i="33"/>
  <c r="U25" i="33"/>
  <c r="F25" i="33"/>
  <c r="AA25" i="33"/>
  <c r="J23" i="33"/>
  <c r="W23" i="33"/>
  <c r="H23" i="33"/>
  <c r="U23" i="33"/>
  <c r="F19" i="33"/>
  <c r="S19" i="33"/>
  <c r="W19" i="33"/>
  <c r="J17" i="33"/>
  <c r="W17" i="33"/>
  <c r="S15" i="33"/>
  <c r="W15" i="33"/>
  <c r="U9" i="33"/>
  <c r="J10" i="33"/>
  <c r="AC10" i="33"/>
  <c r="H10" i="33"/>
  <c r="U10" i="33"/>
  <c r="AC11" i="33"/>
  <c r="AB14" i="33"/>
  <c r="W43" i="21"/>
  <c r="W36" i="21"/>
  <c r="W41" i="21"/>
  <c r="AB39" i="21"/>
  <c r="AA43" i="21"/>
  <c r="S39" i="21"/>
  <c r="AA38" i="21"/>
  <c r="AA36" i="21"/>
  <c r="AC40" i="21"/>
  <c r="J15" i="21"/>
  <c r="W15" i="21"/>
  <c r="F77" i="21"/>
  <c r="G77" i="21"/>
  <c r="F23" i="21"/>
  <c r="S23" i="21"/>
  <c r="E85" i="21"/>
  <c r="AC11" i="21"/>
  <c r="AB8" i="21"/>
  <c r="M3" i="43"/>
  <c r="N10" i="43"/>
  <c r="M1" i="43"/>
  <c r="M8" i="43"/>
  <c r="N8" i="43"/>
  <c r="N9" i="43"/>
  <c r="D120" i="9"/>
  <c r="D6" i="52"/>
  <c r="C18" i="9"/>
  <c r="D18" i="9"/>
  <c r="F34" i="67"/>
  <c r="F62" i="67"/>
  <c r="M20" i="67"/>
  <c r="F34" i="15"/>
  <c r="F62" i="15"/>
  <c r="G13" i="3"/>
  <c r="BA13" i="3"/>
  <c r="AZ13" i="3"/>
  <c r="E11" i="6"/>
  <c r="E61" i="39"/>
  <c r="BL17" i="3"/>
  <c r="AZ17" i="3"/>
  <c r="BL13" i="3"/>
  <c r="J56" i="9"/>
  <c r="J57" i="9"/>
  <c r="J59" i="9"/>
  <c r="J61" i="9"/>
  <c r="A24" i="51"/>
  <c r="B18" i="72"/>
  <c r="U29" i="34"/>
  <c r="E14" i="6"/>
  <c r="E64" i="39"/>
  <c r="E5" i="6"/>
  <c r="D9" i="11"/>
  <c r="C9" i="11"/>
  <c r="P10" i="1"/>
  <c r="E32" i="6"/>
  <c r="G1" i="68"/>
  <c r="K1" i="12"/>
  <c r="E57" i="40"/>
  <c r="AR12" i="1"/>
  <c r="AQ12" i="1"/>
  <c r="T12" i="1"/>
  <c r="AR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78"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T35" i="4"/>
  <c r="A19" i="51"/>
  <c r="B14" i="72"/>
  <c r="C59" i="34"/>
  <c r="D59" i="34"/>
  <c r="E59" i="34"/>
  <c r="F59" i="34"/>
  <c r="G59" i="34"/>
  <c r="H59" i="34"/>
  <c r="I59" i="34"/>
  <c r="C52" i="37"/>
  <c r="D52" i="37"/>
  <c r="E52" i="37"/>
  <c r="F52" i="37"/>
  <c r="A4" i="51"/>
  <c r="B6" i="72"/>
  <c r="C48" i="35"/>
  <c r="D48" i="35"/>
  <c r="E48" i="35"/>
  <c r="F48" i="35"/>
  <c r="G48" i="35"/>
  <c r="C94" i="9"/>
  <c r="C4" i="12"/>
  <c r="C92" i="9"/>
  <c r="H66" i="43"/>
  <c r="H65" i="43"/>
  <c r="H64" i="43"/>
  <c r="H63" i="43"/>
  <c r="H55" i="43"/>
  <c r="H56" i="43"/>
  <c r="H72" i="43"/>
  <c r="L20" i="6"/>
  <c r="E56" i="39"/>
  <c r="B6" i="1"/>
  <c r="E6" i="1"/>
  <c r="S8" i="1"/>
  <c r="K11" i="1"/>
  <c r="M11" i="1"/>
  <c r="AP6" i="1"/>
  <c r="B9" i="1"/>
  <c r="E9" i="1"/>
  <c r="K7" i="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AB23" i="39"/>
  <c r="U41" i="39"/>
  <c r="AB41" i="39"/>
  <c r="W25" i="39"/>
  <c r="U13" i="39"/>
  <c r="AA13" i="39"/>
  <c r="S14" i="39"/>
  <c r="AA14" i="39"/>
  <c r="U43" i="39"/>
  <c r="AB43" i="39"/>
  <c r="AB11" i="39"/>
  <c r="U11" i="39"/>
  <c r="AA27" i="39"/>
  <c r="W17" i="39"/>
  <c r="AC17" i="39"/>
  <c r="W31" i="39"/>
  <c r="AC31" i="39"/>
  <c r="S23" i="39"/>
  <c r="AA45" i="39"/>
  <c r="AB39" i="39"/>
  <c r="W34" i="39"/>
  <c r="U38" i="39"/>
  <c r="S8" i="39"/>
  <c r="S20" i="36"/>
  <c r="AC25" i="36"/>
  <c r="S28" i="36"/>
  <c r="U32" i="36"/>
  <c r="W29" i="36"/>
  <c r="AC20" i="36"/>
  <c r="U25" i="36"/>
  <c r="AA13" i="36"/>
  <c r="W9" i="36"/>
  <c r="W22" i="36"/>
  <c r="W23" i="36"/>
  <c r="AC25" i="35"/>
  <c r="U25" i="35"/>
  <c r="S24" i="35"/>
  <c r="W33" i="35"/>
  <c r="AA30" i="35"/>
  <c r="S35" i="35"/>
  <c r="W35" i="35"/>
  <c r="AA16" i="35"/>
  <c r="AA35" i="37"/>
  <c r="W36" i="37"/>
  <c r="S27" i="37"/>
  <c r="S28" i="37"/>
  <c r="U36" i="37"/>
  <c r="S40" i="37"/>
  <c r="U38" i="37"/>
  <c r="AB37" i="37"/>
  <c r="S33" i="37"/>
  <c r="AC34" i="37"/>
  <c r="AB35" i="37"/>
  <c r="AA31" i="37"/>
  <c r="U19" i="37"/>
  <c r="AA29" i="37"/>
  <c r="AA8" i="37"/>
  <c r="U8" i="37"/>
  <c r="AB40" i="34"/>
  <c r="W19" i="34"/>
  <c r="AB33" i="34"/>
  <c r="AC45" i="34"/>
  <c r="AA31" i="34"/>
  <c r="AA30" i="34"/>
  <c r="AB45" i="34"/>
  <c r="AB47" i="34"/>
  <c r="U25" i="34"/>
  <c r="AB36" i="34"/>
  <c r="AC14" i="34"/>
  <c r="AC29" i="34"/>
  <c r="W29" i="34"/>
  <c r="W46" i="34"/>
  <c r="AC46" i="34"/>
  <c r="S32" i="34"/>
  <c r="AA32" i="34"/>
  <c r="U30" i="34"/>
  <c r="AB30" i="34"/>
  <c r="S37" i="34"/>
  <c r="AC40" i="34"/>
  <c r="W40" i="34"/>
  <c r="AA19" i="34"/>
  <c r="S19" i="34"/>
  <c r="AA36" i="34"/>
  <c r="AA8" i="34"/>
  <c r="S8" i="34"/>
  <c r="S46" i="34"/>
  <c r="U32" i="34"/>
  <c r="U14" i="34"/>
  <c r="AC43" i="34"/>
  <c r="W43" i="34"/>
  <c r="AA11"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S28" i="33"/>
  <c r="W9" i="33"/>
  <c r="W8" i="33"/>
  <c r="AB42" i="21"/>
  <c r="AA11" i="21"/>
  <c r="S45" i="21"/>
  <c r="F33" i="21"/>
  <c r="S33" i="21"/>
  <c r="J33" i="21"/>
  <c r="H33" i="21"/>
  <c r="AB33" i="21"/>
  <c r="F37" i="21"/>
  <c r="AA37" i="21"/>
  <c r="AA26" i="21"/>
  <c r="AB14" i="21"/>
  <c r="AB46" i="21"/>
  <c r="U40" i="21"/>
  <c r="AC15" i="21"/>
  <c r="U13" i="21"/>
  <c r="AB13" i="21"/>
  <c r="W8" i="21"/>
  <c r="S35"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K141" i="21"/>
  <c r="K144" i="21"/>
  <c r="K143" i="21"/>
  <c r="AB25" i="21"/>
  <c r="AB44" i="21"/>
  <c r="AA30" i="21"/>
  <c r="W13" i="21"/>
  <c r="W42" i="21"/>
  <c r="F10" i="21"/>
  <c r="K145" i="21"/>
  <c r="W25" i="21"/>
  <c r="AA29" i="21"/>
  <c r="W31" i="21"/>
  <c r="AA15" i="21"/>
  <c r="AC26" i="21"/>
  <c r="AB29" i="21"/>
  <c r="S28" i="21"/>
  <c r="AC34" i="21"/>
  <c r="W10" i="21"/>
  <c r="W12" i="21"/>
  <c r="AB36" i="21"/>
  <c r="C19" i="39"/>
  <c r="C15" i="40"/>
  <c r="C17" i="40"/>
  <c r="C23" i="40"/>
  <c r="C21" i="40"/>
  <c r="B54" i="43"/>
  <c r="B65" i="43"/>
  <c r="B49" i="43"/>
  <c r="B52" i="43"/>
  <c r="B56" i="43"/>
  <c r="B63" i="43"/>
  <c r="B67" i="43"/>
  <c r="D23" i="15"/>
  <c r="D22" i="15"/>
  <c r="J53" i="67"/>
  <c r="F1" i="67"/>
  <c r="AQ13" i="1"/>
  <c r="F30" i="68"/>
  <c r="C30" i="68"/>
  <c r="F30" i="11"/>
  <c r="C48" i="11"/>
  <c r="F28" i="67"/>
  <c r="C28" i="67"/>
  <c r="F31" i="12"/>
  <c r="M18" i="67"/>
  <c r="F30" i="69"/>
  <c r="C48" i="69"/>
  <c r="M18" i="15"/>
  <c r="T11" i="1"/>
  <c r="AR11" i="1"/>
  <c r="D68" i="39"/>
  <c r="D70" i="39"/>
  <c r="T13" i="1"/>
  <c r="S39" i="40"/>
  <c r="AA12" i="33"/>
  <c r="F54" i="9"/>
  <c r="J32" i="39"/>
  <c r="H107" i="39"/>
  <c r="I107" i="39"/>
  <c r="J107" i="39"/>
  <c r="K107" i="39"/>
  <c r="L107" i="39"/>
  <c r="M107" i="39"/>
  <c r="H32" i="39"/>
  <c r="U32" i="39"/>
  <c r="S32" i="39"/>
  <c r="AB21" i="39"/>
  <c r="U21" i="39"/>
  <c r="S21" i="39"/>
  <c r="AC21" i="39"/>
  <c r="W21" i="39"/>
  <c r="U9" i="35"/>
  <c r="AB9" i="35"/>
  <c r="AA9" i="35"/>
  <c r="AC26" i="35"/>
  <c r="AB26" i="35"/>
  <c r="U26" i="35"/>
  <c r="AC17" i="37"/>
  <c r="S17" i="37"/>
  <c r="J19" i="37"/>
  <c r="W19" i="37"/>
  <c r="AA19" i="37"/>
  <c r="AA23" i="37"/>
  <c r="J23" i="37"/>
  <c r="W23" i="37"/>
  <c r="G79" i="37"/>
  <c r="J10" i="37"/>
  <c r="AC10" i="37"/>
  <c r="I60" i="37"/>
  <c r="G63" i="37"/>
  <c r="H63" i="37"/>
  <c r="I63" i="37"/>
  <c r="J63" i="37"/>
  <c r="K63" i="37"/>
  <c r="L63" i="37"/>
  <c r="M63" i="37"/>
  <c r="H11" i="37"/>
  <c r="AB10" i="37"/>
  <c r="G70" i="34"/>
  <c r="H11" i="34"/>
  <c r="AB10" i="34"/>
  <c r="U10" i="34"/>
  <c r="J10" i="34"/>
  <c r="W10" i="34"/>
  <c r="I111" i="33"/>
  <c r="J111" i="33"/>
  <c r="K111" i="33"/>
  <c r="L111" i="33"/>
  <c r="M111" i="33"/>
  <c r="H36" i="33"/>
  <c r="U36" i="33"/>
  <c r="S36" i="33"/>
  <c r="J27" i="33"/>
  <c r="AC27" i="33"/>
  <c r="H87" i="33"/>
  <c r="I87" i="33"/>
  <c r="J87" i="33"/>
  <c r="K87" i="33"/>
  <c r="L87" i="33"/>
  <c r="M87" i="33"/>
  <c r="J25" i="33"/>
  <c r="AB23" i="33"/>
  <c r="F23" i="33"/>
  <c r="AA23" i="33"/>
  <c r="G85" i="33"/>
  <c r="AC23" i="33"/>
  <c r="H19" i="33"/>
  <c r="G79" i="33"/>
  <c r="H17" i="33"/>
  <c r="F17" i="33"/>
  <c r="AA17" i="33"/>
  <c r="AB10" i="33"/>
  <c r="U33" i="21"/>
  <c r="S37" i="21"/>
  <c r="AA23" i="21"/>
  <c r="AB15" i="21"/>
  <c r="J23" i="21"/>
  <c r="AC23" i="21"/>
  <c r="F85" i="21"/>
  <c r="G85" i="21"/>
  <c r="H23" i="21"/>
  <c r="S13" i="21"/>
  <c r="D121" i="9"/>
  <c r="D7" i="52"/>
  <c r="AR8" i="1"/>
  <c r="AQ8" i="1"/>
  <c r="T8" i="1"/>
  <c r="O19" i="43"/>
  <c r="E58" i="21"/>
  <c r="F58" i="21"/>
  <c r="G58" i="21"/>
  <c r="H58" i="21"/>
  <c r="L27" i="6"/>
  <c r="AP7" i="1"/>
  <c r="AB45" i="21"/>
  <c r="AC33" i="21"/>
  <c r="W33" i="21"/>
  <c r="AA33" i="21"/>
  <c r="AC32" i="21"/>
  <c r="U9" i="21"/>
  <c r="AA32" i="21"/>
  <c r="S32" i="21"/>
  <c r="W9" i="21"/>
  <c r="AC9" i="21"/>
  <c r="AB32" i="21"/>
  <c r="U32" i="21"/>
  <c r="AA10" i="21"/>
  <c r="S10" i="21"/>
  <c r="AB32" i="39"/>
  <c r="AC32" i="39"/>
  <c r="W32" i="39"/>
  <c r="AC19" i="37"/>
  <c r="AC23" i="37"/>
  <c r="AB11" i="37"/>
  <c r="U11" i="37"/>
  <c r="J11" i="37"/>
  <c r="W10" i="37"/>
  <c r="U11" i="34"/>
  <c r="AB11" i="34"/>
  <c r="AC10" i="34"/>
  <c r="H70" i="34"/>
  <c r="I70" i="34"/>
  <c r="J70" i="34"/>
  <c r="K70" i="34"/>
  <c r="L70" i="34"/>
  <c r="M70" i="34"/>
  <c r="J11" i="34"/>
  <c r="AB36" i="33"/>
  <c r="W25" i="33"/>
  <c r="AC25" i="33"/>
  <c r="AB19" i="33"/>
  <c r="U19" i="33"/>
  <c r="U17" i="33"/>
  <c r="AB17" i="33"/>
  <c r="U23" i="21"/>
  <c r="AB23" i="21"/>
  <c r="W23" i="21"/>
  <c r="G39" i="43"/>
  <c r="I39" i="43"/>
  <c r="C5" i="68"/>
  <c r="AC11" i="37"/>
  <c r="W11" i="37"/>
  <c r="W11" i="34"/>
  <c r="AC11" i="34"/>
  <c r="C13" i="12"/>
  <c r="F34" i="11"/>
  <c r="F11" i="12"/>
  <c r="C23" i="12"/>
  <c r="F34" i="68"/>
  <c r="R8" i="1"/>
  <c r="AE8" i="1"/>
  <c r="H109" i="9"/>
  <c r="H110" i="9"/>
  <c r="D18" i="53"/>
  <c r="B35" i="72"/>
  <c r="D16" i="53"/>
  <c r="B34" i="72"/>
  <c r="W7" i="33"/>
  <c r="S7" i="33"/>
  <c r="H112" i="9"/>
  <c r="D21" i="53"/>
  <c r="B39" i="72"/>
  <c r="H111" i="9"/>
  <c r="D126" i="9"/>
  <c r="I14" i="74"/>
  <c r="B8" i="74"/>
  <c r="D19" i="53"/>
  <c r="D59" i="9"/>
  <c r="M55" i="9"/>
  <c r="B38" i="72"/>
  <c r="D20" i="53"/>
  <c r="B40" i="72"/>
  <c r="AD3" i="71"/>
  <c r="P21" i="43"/>
  <c r="P22" i="43"/>
  <c r="P23" i="43"/>
  <c r="B71" i="39"/>
  <c r="P24" i="43"/>
  <c r="B66" i="40"/>
  <c r="P25" i="43"/>
  <c r="F31" i="67"/>
  <c r="M24" i="15"/>
  <c r="M8" i="67"/>
  <c r="B13" i="76"/>
  <c r="J15" i="15"/>
  <c r="R7" i="1"/>
  <c r="F35" i="67"/>
  <c r="E10" i="76"/>
  <c r="E13" i="76"/>
  <c r="AO11" i="1"/>
  <c r="F16" i="67"/>
  <c r="M21" i="67"/>
  <c r="E12" i="76"/>
  <c r="B8" i="76"/>
  <c r="AO10" i="1"/>
  <c r="M29" i="67"/>
  <c r="M27" i="67"/>
  <c r="D2" i="35"/>
  <c r="B11" i="76"/>
  <c r="F8" i="67"/>
  <c r="M6" i="67"/>
  <c r="E2" i="69"/>
  <c r="E8" i="76"/>
  <c r="AO12" i="1"/>
  <c r="F42" i="67"/>
  <c r="G1" i="81"/>
  <c r="AE7" i="1"/>
  <c r="F41" i="67"/>
  <c r="B12" i="76"/>
  <c r="C76" i="15"/>
  <c r="B10" i="76"/>
  <c r="F36" i="67"/>
  <c r="D2" i="34"/>
  <c r="B9" i="76"/>
  <c r="B7" i="76"/>
  <c r="F6" i="67"/>
  <c r="M9" i="67"/>
  <c r="D2" i="21"/>
  <c r="D2" i="33"/>
  <c r="E7" i="76"/>
  <c r="AO9" i="1"/>
  <c r="M23" i="15"/>
  <c r="F43" i="67"/>
  <c r="C76" i="67"/>
  <c r="D2" i="37"/>
  <c r="E2" i="68"/>
  <c r="E9" i="76"/>
  <c r="AO13" i="1"/>
  <c r="F7" i="67"/>
  <c r="F37" i="67"/>
  <c r="D2" i="36"/>
  <c r="E11" i="76"/>
  <c r="M22" i="67"/>
  <c r="AO8" i="1"/>
  <c r="B8" i="49"/>
  <c r="B22" i="49"/>
  <c r="AZ123" i="3"/>
  <c r="AZ509" i="3"/>
  <c r="J27" i="21"/>
  <c r="F27" i="21"/>
  <c r="F32" i="81"/>
  <c r="F60" i="81"/>
  <c r="F28" i="81"/>
  <c r="C28" i="81"/>
  <c r="M18" i="81"/>
  <c r="AZ116" i="3"/>
  <c r="AZ327" i="3"/>
  <c r="AZ495" i="3"/>
  <c r="AZ513" i="3"/>
  <c r="AZ517" i="3"/>
  <c r="AZ567" i="3"/>
  <c r="AZ571" i="3"/>
  <c r="AZ575" i="3"/>
  <c r="U11" i="35"/>
  <c r="AB11" i="35"/>
  <c r="AA28" i="34"/>
  <c r="S28" i="34"/>
  <c r="AC33" i="37"/>
  <c r="W33" i="37"/>
  <c r="W34" i="36"/>
  <c r="AC34" i="36"/>
  <c r="AA35" i="39"/>
  <c r="S35" i="39"/>
  <c r="C30" i="11"/>
  <c r="K120" i="9"/>
  <c r="A18" i="62"/>
  <c r="B64" i="72"/>
  <c r="AC37" i="21"/>
  <c r="S25" i="33"/>
  <c r="S26" i="35"/>
  <c r="D68" i="9"/>
  <c r="C48" i="68"/>
  <c r="T9" i="1"/>
  <c r="E59" i="40"/>
  <c r="AQ9" i="1"/>
  <c r="F28" i="15"/>
  <c r="F32" i="15"/>
  <c r="F60" i="15"/>
  <c r="F32" i="67"/>
  <c r="F60" i="67"/>
  <c r="F52" i="9"/>
  <c r="U30" i="40"/>
  <c r="W30" i="40"/>
  <c r="S17" i="21"/>
  <c r="U27" i="21"/>
  <c r="AB37" i="21"/>
  <c r="U28" i="21"/>
  <c r="S44" i="21"/>
  <c r="AB34" i="33"/>
  <c r="U38" i="34"/>
  <c r="AC32" i="34"/>
  <c r="W33" i="34"/>
  <c r="U19" i="34"/>
  <c r="AA40" i="34"/>
  <c r="AA11" i="37"/>
  <c r="W32" i="37"/>
  <c r="U24" i="35"/>
  <c r="AB20" i="35"/>
  <c r="AB28" i="36"/>
  <c r="AC41" i="39"/>
  <c r="W19" i="40"/>
  <c r="U32" i="40"/>
  <c r="E51" i="40"/>
  <c r="H77" i="43"/>
  <c r="H76" i="43"/>
  <c r="H51" i="43"/>
  <c r="H67" i="43"/>
  <c r="H59" i="43"/>
  <c r="H60" i="43"/>
  <c r="H61" i="43"/>
  <c r="H70" i="43"/>
  <c r="H54" i="43"/>
  <c r="C7" i="43"/>
  <c r="T10" i="1"/>
  <c r="E10" i="6"/>
  <c r="S8" i="21"/>
  <c r="AA14" i="21"/>
  <c r="AA10" i="33"/>
  <c r="S39" i="33"/>
  <c r="AA25" i="34"/>
  <c r="AB35" i="34"/>
  <c r="W25" i="34"/>
  <c r="AA9" i="37"/>
  <c r="AB17" i="37"/>
  <c r="AB10" i="35"/>
  <c r="AC10" i="35"/>
  <c r="S20" i="35"/>
  <c r="W10" i="36"/>
  <c r="S14" i="36"/>
  <c r="W14" i="36"/>
  <c r="U31" i="39"/>
  <c r="U37" i="39"/>
  <c r="AA27" i="40"/>
  <c r="AB27" i="40"/>
  <c r="F53" i="9"/>
  <c r="C31" i="12"/>
  <c r="AA39" i="34"/>
  <c r="H48" i="43"/>
  <c r="H50" i="43"/>
  <c r="H75" i="43"/>
  <c r="AC17" i="34"/>
  <c r="AA12" i="40"/>
  <c r="F48" i="9"/>
  <c r="O52" i="9"/>
  <c r="AC5" i="3"/>
  <c r="AZ362" i="3"/>
  <c r="AZ339" i="3"/>
  <c r="AZ334" i="3"/>
  <c r="AZ306" i="3"/>
  <c r="AZ351" i="3"/>
  <c r="AZ329" i="3"/>
  <c r="AZ380" i="3"/>
  <c r="AZ360" i="3"/>
  <c r="AB33" i="40"/>
  <c r="AA25" i="21"/>
  <c r="AC12" i="37"/>
  <c r="AC31" i="33"/>
  <c r="AC32" i="36"/>
  <c r="AZ507" i="3"/>
  <c r="AZ527" i="3"/>
  <c r="AZ535" i="3"/>
  <c r="AZ543" i="3"/>
  <c r="AZ559" i="3"/>
  <c r="AA14" i="37"/>
  <c r="AB11" i="36"/>
  <c r="AC11" i="36"/>
  <c r="W11" i="36"/>
  <c r="U46" i="34"/>
  <c r="AB46" i="34"/>
  <c r="S14" i="34"/>
  <c r="AA14" i="34"/>
  <c r="U45" i="33"/>
  <c r="AB45" i="33"/>
  <c r="AB13" i="33"/>
  <c r="U13" i="33"/>
  <c r="U30" i="21"/>
  <c r="AB30" i="21"/>
  <c r="AA44" i="34"/>
  <c r="S44" i="34"/>
  <c r="AB17" i="34"/>
  <c r="U23" i="34"/>
  <c r="AB23" i="34"/>
  <c r="W11" i="40"/>
  <c r="AC11" i="40"/>
  <c r="AC44" i="39"/>
  <c r="W44" i="39"/>
  <c r="AB34" i="21"/>
  <c r="U34" i="21"/>
  <c r="BL587" i="3"/>
  <c r="AZ587" i="3"/>
  <c r="BL586" i="3"/>
  <c r="AZ586" i="3"/>
  <c r="BL585" i="3"/>
  <c r="BA585" i="3"/>
  <c r="AZ585" i="3"/>
  <c r="AA38" i="40"/>
  <c r="S38" i="40"/>
  <c r="BA551" i="3"/>
  <c r="BL550" i="3"/>
  <c r="AZ550" i="3"/>
  <c r="BA550" i="3"/>
  <c r="M20" i="15"/>
  <c r="M20" i="81"/>
  <c r="F34" i="81"/>
  <c r="F62" i="81"/>
  <c r="G400" i="3"/>
  <c r="BL400" i="3"/>
  <c r="BA403" i="3"/>
  <c r="BL403" i="3"/>
  <c r="BA404" i="3"/>
  <c r="AZ404" i="3"/>
  <c r="BL408" i="3"/>
  <c r="AZ408" i="3"/>
  <c r="BA409" i="3"/>
  <c r="AZ409" i="3"/>
  <c r="G412" i="3"/>
  <c r="G413" i="3"/>
  <c r="BL413" i="3"/>
  <c r="AZ413" i="3"/>
  <c r="BA414" i="3"/>
  <c r="AZ414" i="3"/>
  <c r="G417" i="3"/>
  <c r="G418" i="3"/>
  <c r="G422" i="3"/>
  <c r="G424" i="3"/>
  <c r="BL424" i="3"/>
  <c r="BA425" i="3"/>
  <c r="AZ425" i="3"/>
  <c r="G428" i="3"/>
  <c r="G429" i="3"/>
  <c r="BL429" i="3"/>
  <c r="AZ429" i="3"/>
  <c r="BA430" i="3"/>
  <c r="AZ430" i="3"/>
  <c r="G433" i="3"/>
  <c r="G434" i="3"/>
  <c r="BL437" i="3"/>
  <c r="AZ437" i="3"/>
  <c r="G439" i="3"/>
  <c r="BL439" i="3"/>
  <c r="BA440" i="3"/>
  <c r="AZ440" i="3"/>
  <c r="BA441" i="3"/>
  <c r="AZ441" i="3"/>
  <c r="BL441" i="3"/>
  <c r="G443" i="3"/>
  <c r="BA444" i="3"/>
  <c r="AZ444" i="3"/>
  <c r="G449" i="3"/>
  <c r="BL449" i="3"/>
  <c r="G451" i="3"/>
  <c r="G453" i="3"/>
  <c r="BL453" i="3"/>
  <c r="AZ453" i="3"/>
  <c r="G455" i="3"/>
  <c r="BL455" i="3"/>
  <c r="BA456" i="3"/>
  <c r="AZ456" i="3"/>
  <c r="BA457" i="3"/>
  <c r="AZ457" i="3"/>
  <c r="BA458" i="3"/>
  <c r="BL458" i="3"/>
  <c r="G460" i="3"/>
  <c r="BL460" i="3"/>
  <c r="AZ460" i="3"/>
  <c r="BA461" i="3"/>
  <c r="AZ461" i="3"/>
  <c r="BA462" i="3"/>
  <c r="AZ462" i="3"/>
  <c r="BL462" i="3"/>
  <c r="BA463" i="3"/>
  <c r="AZ463" i="3"/>
  <c r="BL465" i="3"/>
  <c r="AZ465" i="3"/>
  <c r="BA466" i="3"/>
  <c r="AZ466" i="3"/>
  <c r="G469" i="3"/>
  <c r="G471" i="3"/>
  <c r="BL471" i="3"/>
  <c r="BA472" i="3"/>
  <c r="AZ472" i="3"/>
  <c r="BA473" i="3"/>
  <c r="AZ473" i="3"/>
  <c r="G476" i="3"/>
  <c r="BL476" i="3"/>
  <c r="G478" i="3"/>
  <c r="BL478" i="3"/>
  <c r="BA479" i="3"/>
  <c r="AZ479" i="3"/>
  <c r="G484" i="3"/>
  <c r="BL484" i="3"/>
  <c r="BA485" i="3"/>
  <c r="AZ485" i="3"/>
  <c r="G490" i="3"/>
  <c r="G491" i="3"/>
  <c r="G492" i="3"/>
  <c r="BL492" i="3"/>
  <c r="G307" i="3"/>
  <c r="BL308" i="3"/>
  <c r="AZ308" i="3"/>
  <c r="AZ583" i="3"/>
  <c r="AZ581" i="3"/>
  <c r="AZ526" i="3"/>
  <c r="AZ566" i="3"/>
  <c r="AZ574" i="3"/>
  <c r="AZ582" i="3"/>
  <c r="AZ584" i="3"/>
  <c r="U8" i="33"/>
  <c r="U40" i="33"/>
  <c r="F32" i="33"/>
  <c r="S35" i="34"/>
  <c r="AC8" i="35"/>
  <c r="S8" i="36"/>
  <c r="F24" i="36"/>
  <c r="AB12" i="36"/>
  <c r="AC12" i="34"/>
  <c r="AB8" i="39"/>
  <c r="C15" i="39"/>
  <c r="C25" i="39"/>
  <c r="W31" i="40"/>
  <c r="U38" i="40"/>
  <c r="U9" i="40"/>
  <c r="H39" i="37"/>
  <c r="S40" i="33"/>
  <c r="F26" i="33"/>
  <c r="AA26" i="33"/>
  <c r="U34" i="34"/>
  <c r="W28" i="36"/>
  <c r="F39" i="37"/>
  <c r="W40" i="39"/>
  <c r="J36" i="39"/>
  <c r="F38" i="33"/>
  <c r="J38" i="33"/>
  <c r="H12" i="34"/>
  <c r="J23" i="35"/>
  <c r="F9" i="36"/>
  <c r="F25" i="37"/>
  <c r="J25" i="37"/>
  <c r="J38" i="40"/>
  <c r="H39" i="40"/>
  <c r="G574" i="3"/>
  <c r="G558" i="3"/>
  <c r="G542" i="3"/>
  <c r="AZ402" i="3"/>
  <c r="AZ406" i="3"/>
  <c r="AZ419" i="3"/>
  <c r="AZ435" i="3"/>
  <c r="AZ446" i="3"/>
  <c r="AZ449" i="3"/>
  <c r="AZ455" i="3"/>
  <c r="AZ471" i="3"/>
  <c r="AZ476" i="3"/>
  <c r="AZ478" i="3"/>
  <c r="AZ481" i="3"/>
  <c r="AZ484" i="3"/>
  <c r="AZ487" i="3"/>
  <c r="AZ492" i="3"/>
  <c r="BL317" i="3"/>
  <c r="AZ317" i="3"/>
  <c r="G323" i="3"/>
  <c r="BL324" i="3"/>
  <c r="AZ324" i="3"/>
  <c r="BL330" i="3"/>
  <c r="AZ330" i="3"/>
  <c r="BA332" i="3"/>
  <c r="AZ332" i="3"/>
  <c r="BA335" i="3"/>
  <c r="AZ335" i="3"/>
  <c r="BA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G245" i="3"/>
  <c r="G246" i="3"/>
  <c r="BL246" i="3"/>
  <c r="BA247" i="3"/>
  <c r="AZ247" i="3"/>
  <c r="BA248" i="3"/>
  <c r="AZ248" i="3"/>
  <c r="BA249" i="3"/>
  <c r="AZ249" i="3"/>
  <c r="BA250" i="3"/>
  <c r="AZ250" i="3"/>
  <c r="BA251" i="3"/>
  <c r="AZ251" i="3"/>
  <c r="BL253" i="3"/>
  <c r="AZ253"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BA293" i="3"/>
  <c r="AZ293" i="3"/>
  <c r="BL296" i="3"/>
  <c r="AZ296" i="3"/>
  <c r="G299" i="3"/>
  <c r="G300" i="3"/>
  <c r="BL300" i="3"/>
  <c r="BA301" i="3"/>
  <c r="AZ301" i="3"/>
  <c r="BL114" i="3"/>
  <c r="AZ114" i="3"/>
  <c r="BA116" i="3"/>
  <c r="G118" i="3"/>
  <c r="BL118" i="3"/>
  <c r="BA120" i="3"/>
  <c r="AZ120" i="3"/>
  <c r="BL121" i="3"/>
  <c r="BA122" i="3"/>
  <c r="AZ122" i="3"/>
  <c r="BL123" i="3"/>
  <c r="BA125" i="3"/>
  <c r="AZ125" i="3"/>
  <c r="BA126" i="3"/>
  <c r="AZ126" i="3"/>
  <c r="BL127" i="3"/>
  <c r="AZ127" i="3"/>
  <c r="G130" i="3"/>
  <c r="G131" i="3"/>
  <c r="BL133" i="3"/>
  <c r="AZ133" i="3"/>
  <c r="G135" i="3"/>
  <c r="G138" i="3"/>
  <c r="G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G178" i="3"/>
  <c r="G179" i="3"/>
  <c r="BL181" i="3"/>
  <c r="AZ181" i="3"/>
  <c r="G184" i="3"/>
  <c r="BL186" i="3"/>
  <c r="AZ186" i="3"/>
  <c r="BA188" i="3"/>
  <c r="AZ188" i="3"/>
  <c r="G190" i="3"/>
  <c r="G191" i="3"/>
  <c r="G194" i="3"/>
  <c r="G195" i="3"/>
  <c r="BL197" i="3"/>
  <c r="AZ197" i="3"/>
  <c r="G200" i="3"/>
  <c r="BL202" i="3"/>
  <c r="AZ202" i="3"/>
  <c r="BA204" i="3"/>
  <c r="AZ204" i="3"/>
  <c r="BA205" i="3"/>
  <c r="AZ205" i="3"/>
  <c r="BA206" i="3"/>
  <c r="AZ206" i="3"/>
  <c r="G19" i="3"/>
  <c r="G20" i="3"/>
  <c r="G21" i="3"/>
  <c r="G22" i="3"/>
  <c r="BL22" i="3"/>
  <c r="BA23" i="3"/>
  <c r="AZ23" i="3"/>
  <c r="BA24" i="3"/>
  <c r="AZ24" i="3"/>
  <c r="BL26" i="3"/>
  <c r="AZ26" i="3"/>
  <c r="BA27" i="3"/>
  <c r="AZ27" i="3"/>
  <c r="BA28" i="3"/>
  <c r="AZ28" i="3"/>
  <c r="BA29" i="3"/>
  <c r="AZ29" i="3"/>
  <c r="BL31" i="3"/>
  <c r="AZ31" i="3"/>
  <c r="BL33" i="3"/>
  <c r="AZ33" i="3"/>
  <c r="BA34" i="3"/>
  <c r="AZ34" i="3"/>
  <c r="BA35" i="3"/>
  <c r="AZ35" i="3"/>
  <c r="BL37" i="3"/>
  <c r="AZ37" i="3"/>
  <c r="BA38" i="3"/>
  <c r="AZ38" i="3"/>
  <c r="BA39" i="3"/>
  <c r="AZ39" i="3"/>
  <c r="BL41" i="3"/>
  <c r="AZ41" i="3"/>
  <c r="BL43" i="3"/>
  <c r="AZ43" i="3"/>
  <c r="BA44" i="3"/>
  <c r="AZ44" i="3"/>
  <c r="BA45" i="3"/>
  <c r="AZ45" i="3"/>
  <c r="BL47" i="3"/>
  <c r="AZ47" i="3"/>
  <c r="BA48" i="3"/>
  <c r="AZ48" i="3"/>
  <c r="BL50" i="3"/>
  <c r="AZ50" i="3"/>
  <c r="G53" i="3"/>
  <c r="G54" i="3"/>
  <c r="BL54" i="3"/>
  <c r="BA57" i="3"/>
  <c r="AZ57" i="3"/>
  <c r="BA58" i="3"/>
  <c r="AZ58" i="3"/>
  <c r="BA59" i="3"/>
  <c r="AZ59" i="3"/>
  <c r="AZ300" i="3"/>
  <c r="AZ118" i="3"/>
  <c r="AZ54" i="3"/>
  <c r="AZ91" i="3"/>
  <c r="AZ104" i="3"/>
  <c r="J51" i="81"/>
  <c r="C7" i="79"/>
  <c r="C58" i="79"/>
  <c r="C42" i="71"/>
  <c r="D41" i="71"/>
  <c r="D44" i="71"/>
  <c r="C45" i="71"/>
  <c r="E5" i="71"/>
  <c r="V6" i="71"/>
  <c r="BL61" i="3"/>
  <c r="AZ61" i="3"/>
  <c r="BA62" i="3"/>
  <c r="AZ62" i="3"/>
  <c r="BA63" i="3"/>
  <c r="AZ63" i="3"/>
  <c r="G66" i="3"/>
  <c r="G67" i="3"/>
  <c r="G68" i="3"/>
  <c r="BL68" i="3"/>
  <c r="AZ68" i="3"/>
  <c r="BA70" i="3"/>
  <c r="AZ70" i="3"/>
  <c r="BA71" i="3"/>
  <c r="AZ71" i="3"/>
  <c r="BA72" i="3"/>
  <c r="AZ72" i="3"/>
  <c r="BL74" i="3"/>
  <c r="AZ74" i="3"/>
  <c r="BA76" i="3"/>
  <c r="AZ76" i="3"/>
  <c r="BA77" i="3"/>
  <c r="AZ77" i="3"/>
  <c r="BL79" i="3"/>
  <c r="AZ79" i="3"/>
  <c r="BA81" i="3"/>
  <c r="AZ81" i="3"/>
  <c r="BA82" i="3"/>
  <c r="AZ82" i="3"/>
  <c r="BA83" i="3"/>
  <c r="AZ83" i="3"/>
  <c r="BA84" i="3"/>
  <c r="AZ84" i="3"/>
  <c r="BA85" i="3"/>
  <c r="AZ85" i="3"/>
  <c r="BA86" i="3"/>
  <c r="AZ86" i="3"/>
  <c r="BL88" i="3"/>
  <c r="AZ88" i="3"/>
  <c r="G91" i="3"/>
  <c r="BL91" i="3"/>
  <c r="BA92" i="3"/>
  <c r="AZ92" i="3"/>
  <c r="BA93" i="3"/>
  <c r="AZ93" i="3"/>
  <c r="BA94" i="3"/>
  <c r="AZ94" i="3"/>
  <c r="G97" i="3"/>
  <c r="G98" i="3"/>
  <c r="BL98" i="3"/>
  <c r="AZ98" i="3"/>
  <c r="BA99" i="3"/>
  <c r="AZ99" i="3"/>
  <c r="BL101" i="3"/>
  <c r="AZ101" i="3"/>
  <c r="G104" i="3"/>
  <c r="BL104" i="3"/>
  <c r="BA106" i="3"/>
  <c r="AZ106" i="3"/>
  <c r="BA107" i="3"/>
  <c r="AZ107" i="3"/>
  <c r="BL109" i="3"/>
  <c r="AZ109" i="3"/>
  <c r="BL111" i="3"/>
  <c r="AZ111" i="3"/>
  <c r="BA112" i="3"/>
  <c r="AZ112" i="3"/>
  <c r="T10" i="71"/>
  <c r="C9" i="71"/>
  <c r="D10" i="71"/>
  <c r="U10" i="71"/>
  <c r="D36" i="71"/>
  <c r="C37" i="71"/>
  <c r="F3" i="35"/>
  <c r="J51" i="15"/>
  <c r="J53" i="15"/>
  <c r="U21" i="34"/>
  <c r="D33" i="71"/>
  <c r="D53" i="71"/>
  <c r="D65" i="71"/>
  <c r="O49" i="71"/>
  <c r="AA8" i="71"/>
  <c r="AB10" i="71"/>
  <c r="AB8" i="71"/>
  <c r="AB3" i="71"/>
  <c r="C13" i="71"/>
  <c r="X3" i="71"/>
  <c r="X8" i="71"/>
  <c r="Y9" i="71"/>
  <c r="Z9" i="71"/>
  <c r="Y7" i="71"/>
  <c r="Z7" i="71"/>
  <c r="AB19" i="71"/>
  <c r="Y19" i="71"/>
  <c r="Z19" i="71"/>
  <c r="AA18" i="71"/>
  <c r="AA17" i="71"/>
  <c r="AA16" i="71"/>
  <c r="AB15" i="71"/>
  <c r="Y15" i="71"/>
  <c r="Z15" i="71"/>
  <c r="AA13" i="71"/>
  <c r="AB11" i="71"/>
  <c r="F13" i="71"/>
  <c r="F14" i="71"/>
  <c r="V14" i="71"/>
  <c r="F17" i="71"/>
  <c r="F18" i="71"/>
  <c r="V18" i="71"/>
  <c r="F21" i="71"/>
  <c r="F22" i="71"/>
  <c r="V22" i="71"/>
  <c r="B41" i="71"/>
  <c r="B42" i="71"/>
  <c r="S42" i="71"/>
  <c r="C5" i="71"/>
  <c r="D5" i="71"/>
  <c r="B5" i="71"/>
  <c r="M100" i="43"/>
  <c r="I100" i="43"/>
  <c r="E100" i="43"/>
  <c r="I15" i="66"/>
  <c r="D1" i="66"/>
  <c r="E10" i="66"/>
  <c r="C40" i="68"/>
  <c r="B55" i="43"/>
  <c r="B11" i="49"/>
  <c r="E9" i="49"/>
  <c r="B5" i="49"/>
  <c r="S41" i="33"/>
  <c r="W36" i="33"/>
  <c r="W35" i="33"/>
  <c r="U32" i="33"/>
  <c r="AB25" i="33"/>
  <c r="AC17" i="33"/>
  <c r="AC32" i="33"/>
  <c r="U33" i="33"/>
  <c r="S23" i="33"/>
  <c r="AC21" i="33"/>
  <c r="AA19" i="33"/>
  <c r="S17" i="33"/>
  <c r="B14" i="49"/>
  <c r="C16" i="43"/>
  <c r="C5" i="43"/>
  <c r="F52" i="15"/>
  <c r="P61" i="15"/>
  <c r="E11" i="49"/>
  <c r="B6" i="49"/>
  <c r="E21" i="49"/>
  <c r="B13" i="49"/>
  <c r="E22" i="49"/>
  <c r="B7" i="49"/>
  <c r="AB41" i="33"/>
  <c r="W39" i="33"/>
  <c r="U35" i="33"/>
  <c r="U27" i="33"/>
  <c r="W27" i="33"/>
  <c r="E4" i="49"/>
  <c r="B4" i="49"/>
  <c r="E5" i="49"/>
  <c r="E10" i="49"/>
  <c r="E8" i="49"/>
  <c r="E16" i="49"/>
  <c r="B9" i="49"/>
  <c r="E4" i="4"/>
  <c r="B5" i="62"/>
  <c r="E6" i="49"/>
  <c r="E7" i="49"/>
  <c r="B16" i="49"/>
  <c r="C4" i="4"/>
  <c r="B4" i="62"/>
  <c r="B10" i="49"/>
  <c r="S26" i="33"/>
  <c r="AB26" i="33"/>
  <c r="W10" i="33"/>
  <c r="C29" i="39"/>
  <c r="B66" i="43"/>
  <c r="B60" i="43"/>
  <c r="C21" i="39"/>
  <c r="Q16" i="1"/>
  <c r="F27" i="69"/>
  <c r="C29" i="69"/>
  <c r="D27" i="69"/>
  <c r="D9" i="68"/>
  <c r="C9" i="68"/>
  <c r="D9" i="69"/>
  <c r="C9" i="69"/>
  <c r="M7" i="1"/>
  <c r="O7" i="1"/>
  <c r="C36" i="69"/>
  <c r="E56" i="40"/>
  <c r="C36" i="68"/>
  <c r="C36" i="11"/>
  <c r="C24" i="12"/>
  <c r="C30" i="69"/>
  <c r="C28" i="15"/>
  <c r="Q52" i="67"/>
  <c r="C34" i="69"/>
  <c r="C35" i="69"/>
  <c r="D19" i="12"/>
  <c r="C19" i="12"/>
  <c r="E60" i="40"/>
  <c r="E65" i="39"/>
  <c r="E13" i="6"/>
  <c r="B113" i="43"/>
  <c r="K101" i="43"/>
  <c r="N101" i="43"/>
  <c r="G101" i="43"/>
  <c r="C101" i="43"/>
  <c r="J101" i="43"/>
  <c r="N104" i="46"/>
  <c r="L101" i="43"/>
  <c r="H101" i="43"/>
  <c r="M101" i="43"/>
  <c r="E101" i="43"/>
  <c r="F22" i="43"/>
  <c r="F101" i="43"/>
  <c r="E22" i="43"/>
  <c r="H22" i="43"/>
  <c r="D101" i="43"/>
  <c r="I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A15" i="62"/>
  <c r="B61" i="72"/>
  <c r="G7" i="1"/>
  <c r="G16" i="1"/>
  <c r="D63" i="40"/>
  <c r="C65" i="40"/>
  <c r="U7" i="33"/>
  <c r="E68" i="39"/>
  <c r="C77" i="9"/>
  <c r="C74" i="9"/>
  <c r="F69" i="67"/>
  <c r="J20" i="67"/>
  <c r="B8" i="70"/>
  <c r="F63" i="67"/>
  <c r="C62" i="67"/>
  <c r="C34" i="67"/>
  <c r="Q71" i="67"/>
  <c r="F70" i="67"/>
  <c r="F64" i="67"/>
  <c r="F65" i="67"/>
  <c r="L56" i="15"/>
  <c r="Q71" i="15"/>
  <c r="F71" i="67"/>
  <c r="F50" i="67"/>
  <c r="M7" i="67"/>
  <c r="F66" i="15"/>
  <c r="F51" i="67"/>
  <c r="B10" i="70"/>
  <c r="B11" i="70"/>
  <c r="B12" i="70"/>
  <c r="B13" i="70"/>
  <c r="B9" i="70"/>
  <c r="J59" i="34"/>
  <c r="K59" i="34"/>
  <c r="L59" i="34"/>
  <c r="M59" i="34"/>
  <c r="N59" i="34"/>
  <c r="O59" i="34"/>
  <c r="F7" i="34"/>
  <c r="J7" i="34"/>
  <c r="H7" i="34"/>
  <c r="D17" i="53"/>
  <c r="B36" i="72"/>
  <c r="D124" i="9"/>
  <c r="I58" i="21"/>
  <c r="D12" i="52"/>
  <c r="D127" i="9"/>
  <c r="D13" i="52"/>
  <c r="P7" i="1"/>
  <c r="H48" i="35"/>
  <c r="I46" i="36"/>
  <c r="G52" i="37"/>
  <c r="H52" i="37"/>
  <c r="I52" i="37"/>
  <c r="J52" i="37"/>
  <c r="K52" i="37"/>
  <c r="L52" i="37"/>
  <c r="M52" i="37"/>
  <c r="N52" i="37"/>
  <c r="O52" i="37"/>
  <c r="F7" i="37"/>
  <c r="J7" i="37"/>
  <c r="F28" i="12"/>
  <c r="C29" i="12"/>
  <c r="D28" i="12"/>
  <c r="H7" i="37"/>
  <c r="P14" i="1"/>
  <c r="O11" i="1"/>
  <c r="E29" i="6"/>
  <c r="F30" i="6"/>
  <c r="F31" i="6"/>
  <c r="AC9" i="34"/>
  <c r="W9" i="34"/>
  <c r="AC24" i="35"/>
  <c r="W24" i="35"/>
  <c r="AC34" i="35"/>
  <c r="W34" i="35"/>
  <c r="AB36" i="35"/>
  <c r="U36" i="35"/>
  <c r="AB14" i="37"/>
  <c r="U14" i="37"/>
  <c r="P6" i="1"/>
  <c r="O12" i="1"/>
  <c r="P12" i="1"/>
  <c r="D9" i="53"/>
  <c r="B25" i="72"/>
  <c r="B24" i="72"/>
  <c r="AZ557" i="3"/>
  <c r="AB31" i="21"/>
  <c r="U31" i="21"/>
  <c r="W45" i="21"/>
  <c r="AC45" i="21"/>
  <c r="AA9" i="21"/>
  <c r="S9" i="21"/>
  <c r="S12" i="34"/>
  <c r="AA12" i="34"/>
  <c r="W24" i="36"/>
  <c r="AC24" i="36"/>
  <c r="U27" i="37"/>
  <c r="AB27" i="37"/>
  <c r="W39" i="37"/>
  <c r="AC39" i="37"/>
  <c r="W12" i="39"/>
  <c r="AC12" i="39"/>
  <c r="AZ551" i="3"/>
  <c r="W17" i="21"/>
  <c r="H9" i="34"/>
  <c r="F34" i="35"/>
  <c r="H34" i="35"/>
  <c r="J36" i="35"/>
  <c r="AZ431" i="3"/>
  <c r="F44" i="39"/>
  <c r="G551" i="3"/>
  <c r="G5" i="3"/>
  <c r="B3" i="3"/>
  <c r="BL548" i="3"/>
  <c r="AZ400" i="3"/>
  <c r="AZ424" i="3"/>
  <c r="AZ439" i="3"/>
  <c r="AZ445" i="3"/>
  <c r="AZ447" i="3"/>
  <c r="AZ464" i="3"/>
  <c r="AZ467" i="3"/>
  <c r="AZ474" i="3"/>
  <c r="AZ480" i="3"/>
  <c r="AZ482" i="3"/>
  <c r="AZ486" i="3"/>
  <c r="AZ488" i="3"/>
  <c r="AZ216" i="3"/>
  <c r="AZ226" i="3"/>
  <c r="AZ242" i="3"/>
  <c r="AZ246" i="3"/>
  <c r="AZ258" i="3"/>
  <c r="AZ267" i="3"/>
  <c r="AZ284" i="3"/>
  <c r="AZ292" i="3"/>
  <c r="AZ302" i="3"/>
  <c r="AZ113" i="3"/>
  <c r="AZ121" i="3"/>
  <c r="AZ153" i="3"/>
  <c r="AZ169" i="3"/>
  <c r="AZ185" i="3"/>
  <c r="AZ201" i="3"/>
  <c r="AZ207" i="3"/>
  <c r="AZ25" i="3"/>
  <c r="AZ30" i="3"/>
  <c r="AZ36" i="3"/>
  <c r="AZ40" i="3"/>
  <c r="AZ46" i="3"/>
  <c r="AZ49" i="3"/>
  <c r="AZ22" i="3"/>
  <c r="AZ108" i="3"/>
  <c r="AZ60" i="3"/>
  <c r="AZ73" i="3"/>
  <c r="AZ78" i="3"/>
  <c r="AZ87" i="3"/>
  <c r="AB21" i="33"/>
  <c r="G48" i="33"/>
  <c r="G52" i="33"/>
  <c r="H52" i="33"/>
  <c r="D48" i="71"/>
  <c r="O48" i="71"/>
  <c r="O47" i="71"/>
  <c r="E9" i="71"/>
  <c r="E8" i="71"/>
  <c r="V10" i="71"/>
  <c r="T34" i="71"/>
  <c r="D34" i="71"/>
  <c r="D21" i="71"/>
  <c r="C22" i="71"/>
  <c r="D24" i="67"/>
  <c r="D23" i="67"/>
  <c r="T42" i="71"/>
  <c r="D42" i="71"/>
  <c r="D49" i="71"/>
  <c r="AA9" i="71"/>
  <c r="AA7" i="71"/>
  <c r="X14" i="71"/>
  <c r="X19" i="71"/>
  <c r="AA11" i="71"/>
  <c r="Y6" i="71"/>
  <c r="Z6" i="71"/>
  <c r="AB6" i="71"/>
  <c r="V50" i="71"/>
  <c r="F49" i="71"/>
  <c r="AA5" i="71"/>
  <c r="X6" i="71"/>
  <c r="AB5" i="71"/>
  <c r="J1" i="73"/>
  <c r="AA6" i="71"/>
  <c r="Y5" i="71"/>
  <c r="Z5" i="71"/>
  <c r="X5" i="71"/>
  <c r="F59" i="67"/>
  <c r="M17" i="15"/>
  <c r="M17" i="67"/>
  <c r="F31" i="15"/>
  <c r="M26" i="67"/>
  <c r="F16" i="15"/>
  <c r="M22" i="15"/>
  <c r="M26" i="15"/>
  <c r="F13" i="67"/>
  <c r="M28" i="67"/>
  <c r="F26" i="67"/>
  <c r="F40" i="67"/>
  <c r="F7" i="73"/>
  <c r="F38" i="67"/>
  <c r="M24" i="67"/>
  <c r="F3" i="73"/>
  <c r="L47" i="67"/>
  <c r="M29" i="15"/>
  <c r="S7" i="1"/>
  <c r="C17" i="67"/>
  <c r="F6" i="73"/>
  <c r="F5" i="73"/>
  <c r="L47" i="15"/>
  <c r="M28" i="15"/>
  <c r="M23" i="67"/>
  <c r="C14" i="67"/>
  <c r="J15" i="67"/>
  <c r="F9" i="67"/>
  <c r="C16" i="67"/>
  <c r="L48" i="67"/>
  <c r="F71" i="15"/>
  <c r="F50" i="15"/>
  <c r="C14" i="71"/>
  <c r="D13" i="71"/>
  <c r="D58" i="79"/>
  <c r="E58" i="79"/>
  <c r="F58" i="79"/>
  <c r="G58" i="79"/>
  <c r="H58" i="79"/>
  <c r="I58" i="79"/>
  <c r="J58" i="79"/>
  <c r="K58" i="79"/>
  <c r="L58" i="79"/>
  <c r="M58" i="79"/>
  <c r="N58" i="79"/>
  <c r="O58" i="79"/>
  <c r="H7" i="79"/>
  <c r="F7" i="79"/>
  <c r="J7" i="79"/>
  <c r="U39" i="40"/>
  <c r="AB39" i="40"/>
  <c r="AC25" i="37"/>
  <c r="W25" i="37"/>
  <c r="AA38" i="33"/>
  <c r="S38" i="33"/>
  <c r="C8" i="71"/>
  <c r="D8" i="71"/>
  <c r="D9" i="71"/>
  <c r="D45" i="71"/>
  <c r="C46" i="71"/>
  <c r="AA9" i="36"/>
  <c r="S9" i="36"/>
  <c r="U12" i="34"/>
  <c r="AB12" i="34"/>
  <c r="U39" i="37"/>
  <c r="AB39" i="37"/>
  <c r="AA27" i="21"/>
  <c r="S27" i="21"/>
  <c r="BL5" i="3"/>
  <c r="J57" i="15"/>
  <c r="J55" i="15"/>
  <c r="J58" i="15"/>
  <c r="Q50" i="15"/>
  <c r="I54" i="15"/>
  <c r="F27" i="68"/>
  <c r="C29" i="68"/>
  <c r="D27" i="68"/>
  <c r="H16" i="1"/>
  <c r="C38" i="71"/>
  <c r="D37" i="71"/>
  <c r="AC38" i="40"/>
  <c r="W38" i="40"/>
  <c r="AA25" i="37"/>
  <c r="S25" i="37"/>
  <c r="AC23" i="35"/>
  <c r="W23" i="35"/>
  <c r="AC38" i="33"/>
  <c r="I48" i="33"/>
  <c r="W38" i="33"/>
  <c r="AC36" i="39"/>
  <c r="W36" i="39"/>
  <c r="S39" i="37"/>
  <c r="AA39" i="37"/>
  <c r="AA24" i="36"/>
  <c r="S24" i="36"/>
  <c r="AA32" i="33"/>
  <c r="S32" i="33"/>
  <c r="AZ458" i="3"/>
  <c r="AZ403" i="3"/>
  <c r="W27" i="21"/>
  <c r="AC27" i="21"/>
  <c r="B73" i="72"/>
  <c r="B71" i="72"/>
  <c r="F27" i="11"/>
  <c r="F70" i="15"/>
  <c r="F1" i="15"/>
  <c r="Q52" i="15"/>
  <c r="K4" i="4"/>
  <c r="B46" i="48"/>
  <c r="M16" i="1"/>
  <c r="C34" i="68"/>
  <c r="C38" i="68"/>
  <c r="C47" i="69"/>
  <c r="D45" i="69"/>
  <c r="C38" i="69"/>
  <c r="C47" i="68"/>
  <c r="D45" i="68"/>
  <c r="E58" i="40"/>
  <c r="E63" i="39"/>
  <c r="E66" i="39"/>
  <c r="E16" i="6"/>
  <c r="C47" i="11"/>
  <c r="D45" i="11"/>
  <c r="C29" i="11"/>
  <c r="D27" i="11"/>
  <c r="N16" i="1"/>
  <c r="F104" i="43"/>
  <c r="F107" i="43"/>
  <c r="F106" i="43"/>
  <c r="F105" i="43"/>
  <c r="F109" i="43"/>
  <c r="F102" i="43"/>
  <c r="F103" i="43"/>
  <c r="E102" i="43"/>
  <c r="E106" i="43"/>
  <c r="E103" i="43"/>
  <c r="E104" i="43"/>
  <c r="E107" i="43"/>
  <c r="E105" i="43"/>
  <c r="E109" i="43"/>
  <c r="H102" i="43"/>
  <c r="H103" i="43"/>
  <c r="H104" i="43"/>
  <c r="H109" i="43"/>
  <c r="H107" i="43"/>
  <c r="H106" i="43"/>
  <c r="H105" i="43"/>
  <c r="D109" i="43"/>
  <c r="D105" i="43"/>
  <c r="D106" i="43"/>
  <c r="D102" i="43"/>
  <c r="D103" i="43"/>
  <c r="D104" i="43"/>
  <c r="D107" i="43"/>
  <c r="D22" i="43"/>
  <c r="M109" i="43"/>
  <c r="M102" i="43"/>
  <c r="M106" i="43"/>
  <c r="M103" i="43"/>
  <c r="M104" i="43"/>
  <c r="M107" i="43"/>
  <c r="M105" i="43"/>
  <c r="L106" i="43"/>
  <c r="L107" i="43"/>
  <c r="L103" i="43"/>
  <c r="L109" i="43"/>
  <c r="L102" i="43"/>
  <c r="L105" i="43"/>
  <c r="L104" i="43"/>
  <c r="J105" i="43"/>
  <c r="J103" i="43"/>
  <c r="J109" i="43"/>
  <c r="J104" i="43"/>
  <c r="J107" i="43"/>
  <c r="J102" i="43"/>
  <c r="J106" i="43"/>
  <c r="G103" i="43"/>
  <c r="G106" i="43"/>
  <c r="G105" i="43"/>
  <c r="G102" i="43"/>
  <c r="G107" i="43"/>
  <c r="G104" i="43"/>
  <c r="G109" i="43"/>
  <c r="K103" i="43"/>
  <c r="K107" i="43"/>
  <c r="K104" i="43"/>
  <c r="K105" i="43"/>
  <c r="K109" i="43"/>
  <c r="K102" i="43"/>
  <c r="K106" i="43"/>
  <c r="I109" i="43"/>
  <c r="I104" i="43"/>
  <c r="I107" i="43"/>
  <c r="I105" i="43"/>
  <c r="I102" i="43"/>
  <c r="I106" i="43"/>
  <c r="I103" i="43"/>
  <c r="C105" i="43"/>
  <c r="C104" i="43"/>
  <c r="C106" i="43"/>
  <c r="C107" i="43"/>
  <c r="C103" i="43"/>
  <c r="C102" i="43"/>
  <c r="C109" i="43"/>
  <c r="N102" i="43"/>
  <c r="N103" i="43"/>
  <c r="N106" i="43"/>
  <c r="N104" i="43"/>
  <c r="N109" i="43"/>
  <c r="N105" i="43"/>
  <c r="N107" i="43"/>
  <c r="D117" i="43"/>
  <c r="E117" i="43"/>
  <c r="F117" i="43"/>
  <c r="G117" i="43"/>
  <c r="H117" i="43"/>
  <c r="I118" i="43"/>
  <c r="J118" i="43"/>
  <c r="K118" i="43"/>
  <c r="L118" i="43"/>
  <c r="M118" i="43"/>
  <c r="G118" i="43"/>
  <c r="H118" i="43"/>
  <c r="B116" i="43"/>
  <c r="C116" i="43"/>
  <c r="B118" i="43"/>
  <c r="C118" i="43"/>
  <c r="I117" i="43"/>
  <c r="J117" i="43"/>
  <c r="K117" i="43"/>
  <c r="L117" i="43"/>
  <c r="M117" i="43"/>
  <c r="B115"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F10" i="39"/>
  <c r="AA10" i="39"/>
  <c r="H10" i="40"/>
  <c r="H10" i="39"/>
  <c r="U10" i="39"/>
  <c r="J10" i="40"/>
  <c r="J10" i="39"/>
  <c r="W10" i="39"/>
  <c r="F10" i="40"/>
  <c r="AA10" i="40"/>
  <c r="AC10" i="39"/>
  <c r="S10" i="40"/>
  <c r="S10" i="39"/>
  <c r="E70" i="39"/>
  <c r="F68" i="39"/>
  <c r="E63" i="40"/>
  <c r="D65" i="40"/>
  <c r="F65" i="15"/>
  <c r="M59" i="15"/>
  <c r="L58" i="15"/>
  <c r="N59" i="15"/>
  <c r="L59" i="15"/>
  <c r="F68" i="15"/>
  <c r="L58" i="67"/>
  <c r="L59" i="67"/>
  <c r="N59" i="67"/>
  <c r="M59" i="67"/>
  <c r="F66" i="67"/>
  <c r="F68" i="67"/>
  <c r="C15" i="67"/>
  <c r="C18" i="67"/>
  <c r="C27" i="67"/>
  <c r="I54" i="67"/>
  <c r="L56" i="67"/>
  <c r="J57" i="67"/>
  <c r="J55" i="67"/>
  <c r="J58" i="67"/>
  <c r="Q50" i="67"/>
  <c r="F64" i="15"/>
  <c r="F51" i="15"/>
  <c r="C6"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S44" i="39"/>
  <c r="AA44" i="39"/>
  <c r="AB34" i="35"/>
  <c r="U34" i="35"/>
  <c r="U9" i="34"/>
  <c r="AB9" i="34"/>
  <c r="K22" i="6"/>
  <c r="M22" i="6"/>
  <c r="I22" i="6"/>
  <c r="S22" i="6"/>
  <c r="K25" i="6"/>
  <c r="M25" i="6"/>
  <c r="I25" i="6"/>
  <c r="S25" i="6"/>
  <c r="K23" i="6"/>
  <c r="M23" i="6"/>
  <c r="I23" i="6"/>
  <c r="S23" i="6"/>
  <c r="K20" i="6"/>
  <c r="K24" i="6"/>
  <c r="M24" i="6"/>
  <c r="I24" i="6"/>
  <c r="S24" i="6"/>
  <c r="K21" i="6"/>
  <c r="M21" i="6"/>
  <c r="I21" i="6"/>
  <c r="S21" i="6"/>
  <c r="K26" i="6"/>
  <c r="M26" i="6"/>
  <c r="I26" i="6"/>
  <c r="S26" i="6"/>
  <c r="E6" i="70"/>
  <c r="P11" i="1"/>
  <c r="P16" i="1"/>
  <c r="C11" i="12"/>
  <c r="U7" i="37"/>
  <c r="AB7" i="37"/>
  <c r="T42" i="37"/>
  <c r="G42" i="37"/>
  <c r="AC7" i="37"/>
  <c r="V42" i="37"/>
  <c r="I42" i="37"/>
  <c r="W7" i="37"/>
  <c r="J46" i="36"/>
  <c r="H14" i="74"/>
  <c r="B7" i="74"/>
  <c r="D10" i="52"/>
  <c r="D125" i="9"/>
  <c r="D11" i="52"/>
  <c r="AC7" i="34"/>
  <c r="V49" i="34"/>
  <c r="I49" i="34"/>
  <c r="W7" i="34"/>
  <c r="C49" i="67"/>
  <c r="J6" i="67"/>
  <c r="T22" i="71"/>
  <c r="D22" i="71"/>
  <c r="Q49" i="71"/>
  <c r="F48" i="71"/>
  <c r="E551" i="3"/>
  <c r="AC36" i="35"/>
  <c r="W36" i="35"/>
  <c r="AA34" i="35"/>
  <c r="S34" i="35"/>
  <c r="AZ548" i="3"/>
  <c r="E30" i="6"/>
  <c r="E31" i="6"/>
  <c r="K15" i="1"/>
  <c r="K16" i="1"/>
  <c r="S7" i="37"/>
  <c r="AA7" i="37"/>
  <c r="R42" i="37"/>
  <c r="I48" i="35"/>
  <c r="J58" i="21"/>
  <c r="K58" i="21"/>
  <c r="L58" i="21"/>
  <c r="M58" i="21"/>
  <c r="N58" i="21"/>
  <c r="O58" i="21"/>
  <c r="U7" i="34"/>
  <c r="AB7" i="34"/>
  <c r="T49" i="34"/>
  <c r="G49" i="34"/>
  <c r="S7" i="34"/>
  <c r="AA7" i="34"/>
  <c r="R49" i="34"/>
  <c r="F59" i="15"/>
  <c r="C17" i="15"/>
  <c r="M28" i="81"/>
  <c r="M22" i="81"/>
  <c r="C16" i="15"/>
  <c r="D7" i="73"/>
  <c r="D6" i="73"/>
  <c r="D3" i="73"/>
  <c r="M24" i="81"/>
  <c r="M26" i="81"/>
  <c r="M29" i="81"/>
  <c r="L47" i="81"/>
  <c r="M27" i="81"/>
  <c r="M23" i="81"/>
  <c r="J15" i="81"/>
  <c r="M59" i="81"/>
  <c r="L59" i="81"/>
  <c r="N59" i="81"/>
  <c r="L58" i="81"/>
  <c r="F65" i="81"/>
  <c r="F50" i="81"/>
  <c r="F51" i="81"/>
  <c r="F52" i="81"/>
  <c r="F66" i="81"/>
  <c r="F68" i="81"/>
  <c r="F64" i="81"/>
  <c r="F71" i="81"/>
  <c r="L57" i="81"/>
  <c r="L60" i="81"/>
  <c r="L56" i="81"/>
  <c r="J59" i="81"/>
  <c r="I54" i="81"/>
  <c r="Q48" i="81"/>
  <c r="J57" i="81"/>
  <c r="J55" i="81"/>
  <c r="J58" i="81"/>
  <c r="Q50" i="81"/>
  <c r="F70" i="81"/>
  <c r="Q71" i="81"/>
  <c r="E48" i="33"/>
  <c r="C48" i="33"/>
  <c r="I52" i="33"/>
  <c r="J52" i="33"/>
  <c r="G53" i="33"/>
  <c r="H53" i="33"/>
  <c r="D46" i="71"/>
  <c r="T46" i="71"/>
  <c r="AC7" i="79"/>
  <c r="I48" i="79"/>
  <c r="W7" i="79"/>
  <c r="U7" i="79"/>
  <c r="AB7" i="79"/>
  <c r="G48" i="79"/>
  <c r="F7" i="21"/>
  <c r="D38" i="71"/>
  <c r="T38" i="71"/>
  <c r="O6" i="1"/>
  <c r="O16" i="1"/>
  <c r="AA7" i="79"/>
  <c r="S7" i="79"/>
  <c r="D14" i="71"/>
  <c r="M20" i="43"/>
  <c r="C19" i="43"/>
  <c r="T14" i="71"/>
  <c r="B4" i="72"/>
  <c r="M20" i="6"/>
  <c r="I20" i="6"/>
  <c r="S20" i="6"/>
  <c r="E7" i="70"/>
  <c r="E2" i="70"/>
  <c r="C34" i="11"/>
  <c r="C38" i="11"/>
  <c r="AG6" i="1"/>
  <c r="F69" i="15"/>
  <c r="C35" i="68"/>
  <c r="L16" i="1"/>
  <c r="AQ6" i="1"/>
  <c r="S16" i="1"/>
  <c r="AR6" i="1"/>
  <c r="H6" i="3"/>
  <c r="AC6" i="3"/>
  <c r="AB10" i="39"/>
  <c r="F50" i="69"/>
  <c r="F50" i="11"/>
  <c r="F50" i="68"/>
  <c r="C115" i="43"/>
  <c r="D113" i="43"/>
  <c r="S4" i="43"/>
  <c r="S2" i="43"/>
  <c r="C23" i="43"/>
  <c r="C21" i="43"/>
  <c r="S6" i="43"/>
  <c r="S7" i="43"/>
  <c r="S5" i="43"/>
  <c r="S3" i="43"/>
  <c r="AB10" i="40"/>
  <c r="U10" i="40"/>
  <c r="W10" i="40"/>
  <c r="AC10" i="40"/>
  <c r="G68" i="39"/>
  <c r="F70" i="39"/>
  <c r="H7" i="21"/>
  <c r="AB7" i="21"/>
  <c r="T48" i="21"/>
  <c r="G48" i="21"/>
  <c r="F63" i="40"/>
  <c r="E65" i="40"/>
  <c r="C19" i="67"/>
  <c r="C20" i="67"/>
  <c r="C26" i="67"/>
  <c r="E20" i="43"/>
  <c r="C15" i="12"/>
  <c r="C12" i="12"/>
  <c r="U7" i="21"/>
  <c r="E42" i="37"/>
  <c r="R43" i="37"/>
  <c r="Q48" i="71"/>
  <c r="Q47" i="71"/>
  <c r="I53" i="34"/>
  <c r="J53" i="34"/>
  <c r="G46" i="37"/>
  <c r="H46" i="37"/>
  <c r="G47" i="37"/>
  <c r="H47" i="37"/>
  <c r="J7" i="21"/>
  <c r="Q73" i="67"/>
  <c r="Q60" i="67"/>
  <c r="Q74" i="15"/>
  <c r="Q61" i="15"/>
  <c r="Q73" i="15"/>
  <c r="Q60" i="15"/>
  <c r="R50" i="34"/>
  <c r="E49" i="34"/>
  <c r="G53" i="34"/>
  <c r="H53" i="34"/>
  <c r="G54" i="34"/>
  <c r="H54" i="34"/>
  <c r="S7" i="21"/>
  <c r="AA7" i="21"/>
  <c r="R48" i="21"/>
  <c r="J48" i="35"/>
  <c r="K46" i="36"/>
  <c r="L46" i="36"/>
  <c r="M46" i="36"/>
  <c r="N46" i="36"/>
  <c r="O46" i="36"/>
  <c r="H7" i="36"/>
  <c r="F7" i="36"/>
  <c r="I47" i="37"/>
  <c r="J47" i="37"/>
  <c r="I46" i="37"/>
  <c r="J46" i="37"/>
  <c r="K27" i="6"/>
  <c r="F11" i="67"/>
  <c r="M11" i="67"/>
  <c r="J10" i="67"/>
  <c r="J5" i="67"/>
  <c r="Q61" i="67"/>
  <c r="Q74" i="67"/>
  <c r="M27" i="15"/>
  <c r="C18" i="15"/>
  <c r="C15" i="15"/>
  <c r="C33" i="43"/>
  <c r="C38" i="43"/>
  <c r="T16" i="43"/>
  <c r="V16" i="43"/>
  <c r="T12" i="43"/>
  <c r="V12" i="43"/>
  <c r="T3" i="43"/>
  <c r="V3" i="43"/>
  <c r="T8" i="43"/>
  <c r="V8" i="43"/>
  <c r="T13" i="43"/>
  <c r="V13" i="43"/>
  <c r="C39" i="43"/>
  <c r="E39" i="43"/>
  <c r="C36" i="43"/>
  <c r="C29" i="43"/>
  <c r="C35" i="43"/>
  <c r="T11" i="43"/>
  <c r="V11" i="43"/>
  <c r="T14" i="43"/>
  <c r="V14" i="43"/>
  <c r="T9" i="43"/>
  <c r="V9" i="43"/>
  <c r="T2" i="43"/>
  <c r="V2" i="43"/>
  <c r="T15" i="43"/>
  <c r="V15" i="43"/>
  <c r="T10" i="43"/>
  <c r="V10" i="43"/>
  <c r="C37" i="43"/>
  <c r="C34" i="43"/>
  <c r="T5" i="43"/>
  <c r="V5" i="43"/>
  <c r="T6" i="43"/>
  <c r="V6" i="43"/>
  <c r="G53" i="79"/>
  <c r="H53" i="79"/>
  <c r="G52" i="79"/>
  <c r="H52" i="79"/>
  <c r="E53" i="33"/>
  <c r="F53" i="33"/>
  <c r="E52" i="33"/>
  <c r="F52" i="33"/>
  <c r="Q52" i="81"/>
  <c r="Q60" i="81"/>
  <c r="Q73" i="81"/>
  <c r="Q61" i="81"/>
  <c r="Q74" i="81"/>
  <c r="T7" i="43"/>
  <c r="V7" i="43"/>
  <c r="T4" i="43"/>
  <c r="V4" i="43"/>
  <c r="E48" i="79"/>
  <c r="I52" i="79"/>
  <c r="J52" i="79"/>
  <c r="I53" i="79"/>
  <c r="J53" i="79"/>
  <c r="I53" i="33"/>
  <c r="J53" i="33"/>
  <c r="Q66" i="81"/>
  <c r="Q57" i="81"/>
  <c r="J24" i="81"/>
  <c r="C35" i="11"/>
  <c r="T7" i="1"/>
  <c r="AQ7" i="1"/>
  <c r="AR7" i="1"/>
  <c r="E6" i="3"/>
  <c r="G63" i="40"/>
  <c r="F65" i="40"/>
  <c r="H68" i="39"/>
  <c r="G70" i="39"/>
  <c r="J18" i="67"/>
  <c r="J24" i="67"/>
  <c r="J26" i="67"/>
  <c r="J29" i="67"/>
  <c r="C10" i="67"/>
  <c r="C5" i="67"/>
  <c r="C53" i="67"/>
  <c r="C48" i="67"/>
  <c r="M27" i="6"/>
  <c r="U7" i="36"/>
  <c r="AB7" i="36"/>
  <c r="T36" i="36"/>
  <c r="G36" i="36"/>
  <c r="R49" i="21"/>
  <c r="E48" i="21"/>
  <c r="E54" i="34"/>
  <c r="F54" i="34"/>
  <c r="E53" i="34"/>
  <c r="F53" i="34"/>
  <c r="I54" i="34"/>
  <c r="J54" i="34"/>
  <c r="C42" i="37"/>
  <c r="C43" i="37"/>
  <c r="G52" i="21"/>
  <c r="H52" i="21"/>
  <c r="J7" i="36"/>
  <c r="C30" i="43"/>
  <c r="E30" i="43"/>
  <c r="E29" i="43"/>
  <c r="E36" i="43"/>
  <c r="G36" i="43"/>
  <c r="I36" i="43"/>
  <c r="G38" i="43"/>
  <c r="I38" i="43"/>
  <c r="E38" i="43"/>
  <c r="G33" i="43"/>
  <c r="I33" i="43"/>
  <c r="E3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7" i="36"/>
  <c r="AA7" i="36"/>
  <c r="R36" i="36"/>
  <c r="K48" i="35"/>
  <c r="C50" i="34"/>
  <c r="C49" i="34"/>
  <c r="W7" i="21"/>
  <c r="AC7" i="21"/>
  <c r="V48" i="21"/>
  <c r="I48" i="21"/>
  <c r="E47" i="37"/>
  <c r="F47" i="37"/>
  <c r="E46" i="37"/>
  <c r="F46" i="37"/>
  <c r="E34" i="43"/>
  <c r="G34" i="43"/>
  <c r="I34" i="43"/>
  <c r="G37" i="43"/>
  <c r="I37" i="43"/>
  <c r="E37" i="43"/>
  <c r="E35" i="43"/>
  <c r="G35" i="43"/>
  <c r="I35" i="43"/>
  <c r="D3" i="21"/>
  <c r="D19" i="11"/>
  <c r="C19" i="11"/>
  <c r="D37" i="11"/>
  <c r="C37" i="11"/>
  <c r="C33" i="11"/>
  <c r="D14" i="12"/>
  <c r="M18" i="9"/>
  <c r="B118" i="9"/>
  <c r="B14" i="74"/>
  <c r="B1" i="74"/>
  <c r="D3" i="34"/>
  <c r="D3" i="33"/>
  <c r="B2" i="33"/>
  <c r="B3" i="33"/>
  <c r="E6" i="6"/>
  <c r="C17" i="4"/>
  <c r="B4" i="52"/>
  <c r="B43" i="72"/>
  <c r="L18" i="9"/>
  <c r="D3" i="37"/>
  <c r="P17" i="43"/>
  <c r="N17" i="43"/>
  <c r="M17" i="43"/>
  <c r="O17" i="43"/>
  <c r="J19" i="81"/>
  <c r="J18" i="81"/>
  <c r="F69" i="81"/>
  <c r="T16" i="1"/>
  <c r="C48" i="79"/>
  <c r="E53" i="79"/>
  <c r="F53" i="79"/>
  <c r="E52" i="79"/>
  <c r="F52" i="79"/>
  <c r="H70" i="39"/>
  <c r="I68" i="39"/>
  <c r="H63" i="40"/>
  <c r="G65" i="40"/>
  <c r="C8" i="74"/>
  <c r="C7" i="74"/>
  <c r="C39" i="11"/>
  <c r="C46" i="11"/>
  <c r="C45" i="11"/>
  <c r="I53" i="21"/>
  <c r="J53" i="21"/>
  <c r="I52" i="21"/>
  <c r="J52" i="21"/>
  <c r="R37" i="36"/>
  <c r="E36" i="36"/>
  <c r="M19" i="9"/>
  <c r="C118" i="9"/>
  <c r="C14" i="74"/>
  <c r="B2" i="74"/>
  <c r="D26" i="6"/>
  <c r="C18" i="4"/>
  <c r="D8" i="6"/>
  <c r="D23" i="6"/>
  <c r="D14" i="6"/>
  <c r="D5" i="6"/>
  <c r="D12" i="6"/>
  <c r="D11" i="6"/>
  <c r="D13" i="6"/>
  <c r="D28" i="6"/>
  <c r="E61" i="40"/>
  <c r="H23" i="6"/>
  <c r="H26" i="6"/>
  <c r="H20" i="6"/>
  <c r="D25" i="6"/>
  <c r="D22" i="6"/>
  <c r="D24" i="6"/>
  <c r="D9" i="6"/>
  <c r="L19" i="9"/>
  <c r="H25" i="6"/>
  <c r="H21" i="6"/>
  <c r="D15" i="6"/>
  <c r="D21" i="6"/>
  <c r="R21" i="6"/>
  <c r="D20" i="6"/>
  <c r="R20" i="6"/>
  <c r="D6" i="6"/>
  <c r="D10" i="6"/>
  <c r="D29" i="6"/>
  <c r="H22" i="6"/>
  <c r="H24" i="6"/>
  <c r="C26" i="43"/>
  <c r="W7" i="36"/>
  <c r="AC7" i="36"/>
  <c r="V36" i="36"/>
  <c r="I36" i="36"/>
  <c r="G41" i="36"/>
  <c r="H41" i="36"/>
  <c r="C48" i="21"/>
  <c r="C49" i="21"/>
  <c r="B2" i="21"/>
  <c r="B3" i="21"/>
  <c r="G40" i="36"/>
  <c r="H40" i="36"/>
  <c r="S19" i="6"/>
  <c r="S27" i="6"/>
  <c r="I27" i="6"/>
  <c r="C32" i="67"/>
  <c r="C38" i="67"/>
  <c r="D10" i="68"/>
  <c r="D10" i="11"/>
  <c r="C10" i="11"/>
  <c r="D10" i="69"/>
  <c r="D20" i="12"/>
  <c r="C20" i="12"/>
  <c r="C18" i="12"/>
  <c r="D17" i="12"/>
  <c r="C17" i="12"/>
  <c r="C14" i="12"/>
  <c r="C16" i="12"/>
  <c r="C20" i="11"/>
  <c r="C28" i="11"/>
  <c r="C27" i="11"/>
  <c r="B2" i="34"/>
  <c r="B3" i="34"/>
  <c r="L48" i="35"/>
  <c r="M48" i="35"/>
  <c r="N48" i="35"/>
  <c r="O48" i="35"/>
  <c r="C27" i="43"/>
  <c r="G53" i="21"/>
  <c r="H53" i="21"/>
  <c r="B2" i="37"/>
  <c r="B3" i="37"/>
  <c r="E52" i="21"/>
  <c r="F52" i="21"/>
  <c r="E53" i="21"/>
  <c r="F53" i="21"/>
  <c r="C60" i="67"/>
  <c r="C66" i="67"/>
  <c r="F25" i="12"/>
  <c r="C26" i="12"/>
  <c r="D25" i="12"/>
  <c r="F24" i="67"/>
  <c r="F22" i="68"/>
  <c r="F22" i="11"/>
  <c r="F22" i="69"/>
  <c r="M21" i="81"/>
  <c r="E6" i="76"/>
  <c r="F7" i="35"/>
  <c r="B2" i="79"/>
  <c r="B3" i="79"/>
  <c r="C103" i="9"/>
  <c r="F63" i="81"/>
  <c r="C62" i="81"/>
  <c r="J20" i="81"/>
  <c r="J17" i="81"/>
  <c r="H27" i="6"/>
  <c r="D30" i="6"/>
  <c r="D16" i="6"/>
  <c r="H7" i="35"/>
  <c r="I70" i="39"/>
  <c r="J68" i="39"/>
  <c r="J7" i="35"/>
  <c r="I63" i="40"/>
  <c r="H65" i="40"/>
  <c r="E2" i="76"/>
  <c r="C26" i="11"/>
  <c r="D22" i="11"/>
  <c r="C23" i="11"/>
  <c r="C44" i="11"/>
  <c r="D41" i="11"/>
  <c r="C44" i="68"/>
  <c r="D41" i="68"/>
  <c r="C26" i="68"/>
  <c r="D22" i="68"/>
  <c r="C23" i="68"/>
  <c r="C44" i="69"/>
  <c r="D41" i="69"/>
  <c r="C26" i="69"/>
  <c r="D22" i="69"/>
  <c r="C24" i="67"/>
  <c r="C23" i="67"/>
  <c r="AA7" i="35"/>
  <c r="R38" i="35"/>
  <c r="S7" i="35"/>
  <c r="C24" i="11"/>
  <c r="C21" i="12"/>
  <c r="R24" i="6"/>
  <c r="R25" i="6"/>
  <c r="R26" i="6"/>
  <c r="D8" i="74"/>
  <c r="D7" i="74"/>
  <c r="C37" i="36"/>
  <c r="B2" i="36"/>
  <c r="B3" i="36"/>
  <c r="C36" i="36"/>
  <c r="C42" i="11"/>
  <c r="AB7" i="35"/>
  <c r="T38" i="35"/>
  <c r="G38" i="35"/>
  <c r="U7" i="35"/>
  <c r="C25" i="11"/>
  <c r="C10" i="69"/>
  <c r="C8" i="69"/>
  <c r="C5" i="69"/>
  <c r="D19" i="69"/>
  <c r="C10" i="68"/>
  <c r="D19" i="68"/>
  <c r="I41" i="36"/>
  <c r="J41" i="36"/>
  <c r="I40" i="36"/>
  <c r="J40" i="36"/>
  <c r="B2" i="43"/>
  <c r="R22" i="6"/>
  <c r="R23" i="6"/>
  <c r="A7" i="51"/>
  <c r="B7" i="72"/>
  <c r="C4" i="52"/>
  <c r="B45" i="72"/>
  <c r="A10" i="51"/>
  <c r="B9" i="72"/>
  <c r="D27" i="6"/>
  <c r="D31" i="6"/>
  <c r="E40" i="36"/>
  <c r="F40" i="36"/>
  <c r="E41" i="36"/>
  <c r="F41" i="36"/>
  <c r="C43" i="11"/>
  <c r="AC7" i="35"/>
  <c r="V38" i="35"/>
  <c r="I38" i="35"/>
  <c r="W7" i="35"/>
  <c r="B6" i="76"/>
  <c r="C57" i="81"/>
  <c r="C64" i="81"/>
  <c r="R27" i="6"/>
  <c r="C29" i="67"/>
  <c r="Q49" i="67"/>
  <c r="J63" i="40"/>
  <c r="I65" i="40"/>
  <c r="J70" i="39"/>
  <c r="K68" i="39"/>
  <c r="B2" i="76"/>
  <c r="B3" i="76"/>
  <c r="I42" i="35"/>
  <c r="J42" i="35"/>
  <c r="C19" i="69"/>
  <c r="C24" i="69"/>
  <c r="D37" i="69"/>
  <c r="C37" i="69"/>
  <c r="C33" i="69"/>
  <c r="G42" i="35"/>
  <c r="H42" i="35"/>
  <c r="G43" i="35"/>
  <c r="H43" i="35"/>
  <c r="C22" i="12"/>
  <c r="C27" i="12"/>
  <c r="C25" i="12"/>
  <c r="E38" i="35"/>
  <c r="I43" i="35"/>
  <c r="J43" i="35"/>
  <c r="R39" i="35"/>
  <c r="I6" i="6"/>
  <c r="I5" i="6"/>
  <c r="B3" i="43"/>
  <c r="C19" i="68"/>
  <c r="D37" i="68"/>
  <c r="C37" i="68"/>
  <c r="C33" i="68"/>
  <c r="C23" i="69"/>
  <c r="C41" i="11"/>
  <c r="C49" i="11"/>
  <c r="C51" i="11"/>
  <c r="C22" i="11"/>
  <c r="C31" i="11"/>
  <c r="M21" i="15"/>
  <c r="Q49" i="81"/>
  <c r="J14" i="81"/>
  <c r="J22" i="81"/>
  <c r="J20" i="15"/>
  <c r="F63" i="15"/>
  <c r="C62" i="15"/>
  <c r="R16" i="1"/>
  <c r="C57" i="15"/>
  <c r="C64" i="15"/>
  <c r="C20" i="69"/>
  <c r="C25" i="69"/>
  <c r="C22" i="69"/>
  <c r="J14" i="15"/>
  <c r="J22" i="15"/>
  <c r="C75" i="15"/>
  <c r="J59" i="15"/>
  <c r="J60" i="15"/>
  <c r="Q48" i="15"/>
  <c r="Q49" i="15"/>
  <c r="J59" i="67"/>
  <c r="J60" i="67"/>
  <c r="C33" i="67"/>
  <c r="C31" i="67"/>
  <c r="C36" i="67"/>
  <c r="C13" i="67"/>
  <c r="C37" i="67"/>
  <c r="C30" i="67"/>
  <c r="C39" i="67"/>
  <c r="L51" i="67"/>
  <c r="L57" i="67"/>
  <c r="L60" i="67"/>
  <c r="L46" i="67"/>
  <c r="J19" i="67"/>
  <c r="J17" i="67"/>
  <c r="J14" i="67"/>
  <c r="J13" i="67"/>
  <c r="J23" i="67"/>
  <c r="C57" i="67"/>
  <c r="C64" i="67"/>
  <c r="C56" i="67"/>
  <c r="C65" i="67"/>
  <c r="C52" i="11"/>
  <c r="B2" i="11"/>
  <c r="B3" i="11"/>
  <c r="L68" i="39"/>
  <c r="K70" i="39"/>
  <c r="K63" i="40"/>
  <c r="J65" i="40"/>
  <c r="C24" i="68"/>
  <c r="C20" i="68"/>
  <c r="C25" i="68"/>
  <c r="C56" i="15"/>
  <c r="C65" i="15"/>
  <c r="E43" i="35"/>
  <c r="F43" i="35"/>
  <c r="E42" i="35"/>
  <c r="F42" i="35"/>
  <c r="C30" i="12"/>
  <c r="C28" i="12"/>
  <c r="C32" i="12"/>
  <c r="B2" i="12"/>
  <c r="B3" i="12"/>
  <c r="C39" i="68"/>
  <c r="C43" i="68"/>
  <c r="C42" i="68"/>
  <c r="C38" i="35"/>
  <c r="C39" i="35"/>
  <c r="B2" i="35"/>
  <c r="B3" i="35"/>
  <c r="C42" i="69"/>
  <c r="C39" i="69"/>
  <c r="C43" i="69"/>
  <c r="J13" i="81"/>
  <c r="J23" i="81"/>
  <c r="J16" i="81"/>
  <c r="J25" i="81"/>
  <c r="Q70" i="81"/>
  <c r="C56" i="81"/>
  <c r="C65" i="81"/>
  <c r="F49" i="15"/>
  <c r="C49" i="15"/>
  <c r="C53" i="15"/>
  <c r="C48" i="15"/>
  <c r="F49" i="81"/>
  <c r="C49" i="81"/>
  <c r="C53" i="81"/>
  <c r="C48" i="81"/>
  <c r="J13" i="15"/>
  <c r="J23" i="15"/>
  <c r="J22" i="67"/>
  <c r="J16" i="67"/>
  <c r="J25" i="67"/>
  <c r="C28" i="69"/>
  <c r="C27" i="69"/>
  <c r="C31" i="69"/>
  <c r="C46" i="68"/>
  <c r="C45" i="68"/>
  <c r="Q48" i="67"/>
  <c r="C61" i="67"/>
  <c r="C59" i="67"/>
  <c r="C58" i="67"/>
  <c r="C67" i="67"/>
  <c r="C68" i="67"/>
  <c r="Q69" i="67"/>
  <c r="Q70" i="67"/>
  <c r="Q70" i="15"/>
  <c r="C75" i="67"/>
  <c r="C56" i="11"/>
  <c r="C57" i="11"/>
  <c r="L70" i="39"/>
  <c r="M68" i="39"/>
  <c r="L63" i="40"/>
  <c r="K65" i="40"/>
  <c r="C41" i="68"/>
  <c r="C46" i="69"/>
  <c r="C45" i="69"/>
  <c r="C22" i="68"/>
  <c r="C41" i="69"/>
  <c r="C28" i="68"/>
  <c r="C27" i="68"/>
  <c r="L51" i="15"/>
  <c r="C60" i="81"/>
  <c r="C61" i="81"/>
  <c r="C66" i="81"/>
  <c r="C60" i="15"/>
  <c r="C66" i="15"/>
  <c r="C61" i="15"/>
  <c r="C59" i="15"/>
  <c r="Q68" i="67"/>
  <c r="C80" i="67"/>
  <c r="C79" i="67"/>
  <c r="C49" i="68"/>
  <c r="C51" i="68"/>
  <c r="Q69" i="15"/>
  <c r="Q68" i="15"/>
  <c r="C49" i="69"/>
  <c r="C51" i="69"/>
  <c r="C52" i="69"/>
  <c r="B2" i="69"/>
  <c r="B3" i="69"/>
  <c r="C40" i="67"/>
  <c r="Q65" i="67"/>
  <c r="C80" i="15"/>
  <c r="C79" i="15"/>
  <c r="M70" i="39"/>
  <c r="N68" i="39"/>
  <c r="L65" i="40"/>
  <c r="M63" i="40"/>
  <c r="C31" i="68"/>
  <c r="Q67" i="15"/>
  <c r="L57" i="15"/>
  <c r="L60" i="15"/>
  <c r="C43" i="15"/>
  <c r="C83" i="15"/>
  <c r="C82" i="15"/>
  <c r="C71" i="67"/>
  <c r="C59" i="81"/>
  <c r="C58" i="81"/>
  <c r="C67" i="81"/>
  <c r="C68" i="81"/>
  <c r="C71" i="81"/>
  <c r="C58" i="15"/>
  <c r="C67" i="15"/>
  <c r="C68" i="15"/>
  <c r="J24" i="15"/>
  <c r="J18" i="15"/>
  <c r="J19" i="15"/>
  <c r="Q67" i="67"/>
  <c r="Q66" i="67"/>
  <c r="Q75" i="67"/>
  <c r="C52" i="68"/>
  <c r="C57" i="68"/>
  <c r="C56" i="68"/>
  <c r="D2" i="67"/>
  <c r="B2" i="67"/>
  <c r="C45" i="67"/>
  <c r="C46" i="67"/>
  <c r="C83" i="67"/>
  <c r="C82" i="67"/>
  <c r="Q56" i="67"/>
  <c r="C43" i="67"/>
  <c r="Q47" i="67"/>
  <c r="Q53" i="67"/>
  <c r="M65" i="40"/>
  <c r="N63" i="40"/>
  <c r="O68" i="39"/>
  <c r="O70" i="39"/>
  <c r="N70" i="39"/>
  <c r="C57" i="69"/>
  <c r="C56" i="69"/>
  <c r="Q66" i="15"/>
  <c r="Q57" i="15"/>
  <c r="Q57" i="67"/>
  <c r="Q62" i="67"/>
  <c r="C71" i="15"/>
  <c r="C46" i="15"/>
  <c r="J17" i="15"/>
  <c r="J16" i="15"/>
  <c r="J25" i="15"/>
  <c r="B2" i="68"/>
  <c r="B3" i="68"/>
  <c r="B3" i="67"/>
  <c r="H7" i="39"/>
  <c r="F7" i="39"/>
  <c r="J7" i="39"/>
  <c r="O63" i="40"/>
  <c r="O65" i="40"/>
  <c r="N65" i="40"/>
  <c r="F20" i="31"/>
  <c r="L51" i="81"/>
  <c r="Q65" i="81"/>
  <c r="Q75" i="81"/>
  <c r="Q69" i="81"/>
  <c r="Q68" i="81"/>
  <c r="Q67" i="81"/>
  <c r="C46" i="81"/>
  <c r="Q65" i="15"/>
  <c r="Q75" i="15"/>
  <c r="Q56" i="15"/>
  <c r="Q62" i="15"/>
  <c r="Q47" i="15"/>
  <c r="Q53" i="15"/>
  <c r="AC7" i="39"/>
  <c r="V47" i="39"/>
  <c r="I47" i="39"/>
  <c r="I51" i="39"/>
  <c r="J51" i="39"/>
  <c r="W7" i="39"/>
  <c r="H7" i="40"/>
  <c r="F7" i="40"/>
  <c r="J7" i="40"/>
  <c r="AA7" i="39"/>
  <c r="R47" i="39"/>
  <c r="S7" i="39"/>
  <c r="AB7" i="39"/>
  <c r="T47" i="39"/>
  <c r="G47" i="39"/>
  <c r="U7" i="39"/>
  <c r="AO6" i="1"/>
  <c r="C19" i="9"/>
  <c r="Q56" i="81"/>
  <c r="Q62" i="81"/>
  <c r="C43" i="81"/>
  <c r="C83" i="81"/>
  <c r="C82" i="81"/>
  <c r="Q47" i="81"/>
  <c r="Q53" i="81"/>
  <c r="C21" i="9"/>
  <c r="C102" i="9"/>
  <c r="B6" i="70"/>
  <c r="G51" i="39"/>
  <c r="H51" i="39"/>
  <c r="G52" i="39"/>
  <c r="H52" i="39"/>
  <c r="E47" i="39"/>
  <c r="R48" i="39"/>
  <c r="S7" i="40"/>
  <c r="AA7" i="40"/>
  <c r="R42" i="40"/>
  <c r="AC7" i="40"/>
  <c r="V42" i="40"/>
  <c r="I42" i="40"/>
  <c r="W7" i="40"/>
  <c r="U7" i="40"/>
  <c r="AB7" i="40"/>
  <c r="T42" i="40"/>
  <c r="G42" i="40"/>
  <c r="AO7" i="1"/>
  <c r="D19" i="9"/>
  <c r="G19" i="9"/>
  <c r="C32" i="9"/>
  <c r="D35" i="9"/>
  <c r="C35" i="9"/>
  <c r="C34" i="9"/>
  <c r="D34" i="9"/>
  <c r="B7" i="70"/>
  <c r="B2" i="70"/>
  <c r="B3" i="70"/>
  <c r="G46" i="40"/>
  <c r="H46" i="40"/>
  <c r="G47" i="40"/>
  <c r="H47" i="40"/>
  <c r="R43" i="40"/>
  <c r="E42" i="40"/>
  <c r="C47" i="39"/>
  <c r="C48" i="39"/>
  <c r="I47" i="40"/>
  <c r="J47" i="40"/>
  <c r="I46" i="40"/>
  <c r="J46" i="40"/>
  <c r="I52" i="39"/>
  <c r="J52" i="39"/>
  <c r="E51" i="39"/>
  <c r="F51" i="39"/>
  <c r="E52" i="39"/>
  <c r="F52" i="39"/>
  <c r="D21" i="9"/>
  <c r="G21" i="9"/>
  <c r="D102" i="9"/>
  <c r="D22" i="9"/>
  <c r="D103" i="9"/>
  <c r="B60" i="39"/>
  <c r="F60" i="39"/>
  <c r="B58" i="39"/>
  <c r="F58" i="39"/>
  <c r="B64" i="39"/>
  <c r="F64" i="39"/>
  <c r="B57" i="39"/>
  <c r="F57" i="39"/>
  <c r="B62" i="39"/>
  <c r="F62" i="39"/>
  <c r="B61" i="39"/>
  <c r="F61" i="39"/>
  <c r="B56" i="39"/>
  <c r="F56" i="39"/>
  <c r="F66" i="39"/>
  <c r="B2" i="39"/>
  <c r="B3" i="39"/>
  <c r="B59" i="39"/>
  <c r="F59" i="39"/>
  <c r="B65" i="39"/>
  <c r="F65" i="39"/>
  <c r="B63" i="39"/>
  <c r="F63" i="39"/>
  <c r="E46" i="40"/>
  <c r="F46" i="40"/>
  <c r="E47" i="40"/>
  <c r="F47" i="40"/>
  <c r="C43" i="40"/>
  <c r="C42" i="40"/>
  <c r="F118" i="9"/>
  <c r="B57" i="40"/>
  <c r="F57" i="40"/>
  <c r="B59" i="40"/>
  <c r="F59" i="40"/>
  <c r="B56" i="40"/>
  <c r="F56" i="40"/>
  <c r="B54" i="40"/>
  <c r="F54" i="40"/>
  <c r="B53" i="40"/>
  <c r="F53" i="40"/>
  <c r="F61" i="40"/>
  <c r="B2" i="40"/>
  <c r="B3" i="40"/>
  <c r="B58" i="40"/>
  <c r="F58" i="40"/>
  <c r="B52" i="40"/>
  <c r="F52" i="40"/>
  <c r="B51" i="40"/>
  <c r="F51" i="40"/>
  <c r="B55" i="40"/>
  <c r="F55" i="40"/>
  <c r="B60" i="40"/>
  <c r="F60" i="40"/>
  <c r="H118" i="9"/>
  <c r="D14" i="74"/>
  <c r="D118" i="9"/>
  <c r="D119" i="9"/>
  <c r="D5" i="52"/>
  <c r="B49" i="72"/>
  <c r="H101" i="9"/>
  <c r="F4" i="52"/>
  <c r="B51" i="72"/>
  <c r="G118" i="9"/>
  <c r="G4" i="52"/>
  <c r="B52" i="72"/>
  <c r="F119" i="9"/>
  <c r="F5" i="52"/>
  <c r="B53" i="72"/>
  <c r="H4" i="52"/>
  <c r="I118" i="9"/>
  <c r="E118" i="9"/>
  <c r="E4" i="52"/>
  <c r="B48" i="72"/>
  <c r="H119" i="9"/>
  <c r="H5" i="52"/>
  <c r="C104" i="9"/>
  <c r="D4" i="52"/>
  <c r="B47" i="72"/>
  <c r="E14" i="74"/>
  <c r="B5" i="74"/>
  <c r="F14" i="74"/>
  <c r="M48" i="9"/>
  <c r="H107" i="9"/>
  <c r="D5" i="53"/>
  <c r="D45" i="9"/>
  <c r="C105" i="9"/>
  <c r="I4" i="52"/>
  <c r="H102" i="9"/>
  <c r="D7" i="53"/>
  <c r="B21" i="72"/>
  <c r="B20" i="72"/>
  <c r="D6" i="53"/>
  <c r="B22" i="72"/>
  <c r="D5" i="74"/>
  <c r="C5" i="74"/>
  <c r="C93" i="9"/>
  <c r="C86" i="9"/>
  <c r="D52" i="9"/>
  <c r="D55" i="9"/>
  <c r="M53" i="9"/>
  <c r="C85" i="9"/>
  <c r="D53" i="9"/>
  <c r="C78" i="9"/>
  <c r="C73" i="9"/>
  <c r="C72" i="9"/>
  <c r="C64" i="9"/>
  <c r="C63" i="9"/>
  <c r="C67" i="9"/>
  <c r="C68" i="9"/>
  <c r="D54" i="9"/>
  <c r="D48" i="9"/>
  <c r="M52" i="9"/>
  <c r="M49" i="9"/>
  <c r="H108" i="9"/>
  <c r="D15" i="53"/>
  <c r="B31" i="72"/>
  <c r="D122" i="9"/>
  <c r="D13" i="53"/>
  <c r="C95" i="9"/>
  <c r="C96" i="9"/>
  <c r="E96" i="9"/>
  <c r="E97" i="9"/>
  <c r="D14" i="53"/>
  <c r="B32" i="72"/>
  <c r="B30" i="72"/>
  <c r="G14" i="74"/>
  <c r="B6" i="74"/>
  <c r="D123" i="9"/>
  <c r="D9" i="52"/>
  <c r="D8" i="52"/>
  <c r="L64" i="9"/>
  <c r="M64" i="9"/>
  <c r="L63" i="9"/>
  <c r="M63" i="9"/>
  <c r="L67" i="9"/>
  <c r="M67" i="9"/>
  <c r="L68" i="9"/>
  <c r="M68" i="9"/>
  <c r="L65" i="9"/>
  <c r="M65" i="9"/>
  <c r="L66" i="9"/>
  <c r="M66" i="9"/>
  <c r="C79" i="9"/>
  <c r="C97" i="9"/>
  <c r="C80" i="9"/>
  <c r="E80" i="9"/>
  <c r="E81" i="9"/>
  <c r="C81" i="9"/>
  <c r="D58" i="9"/>
  <c r="D56" i="9"/>
  <c r="M54" i="9"/>
  <c r="N57" i="9"/>
  <c r="M69" i="9"/>
  <c r="N69" i="9"/>
  <c r="C6" i="74"/>
  <c r="D6" i="74"/>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<sst xmlns="http://schemas.openxmlformats.org/spreadsheetml/2006/main" count="8579" uniqueCount="3204">
  <si>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</si>
  <si>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</si>
  <si>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</si>
  <si>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</si>
  <si>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</si>
  <si>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</si>
  <si>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</si>
  <si>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</si>
  <si>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</si>
  <si>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</si>
  <si>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</si>
  <si>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</si>
  <si>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</si>
  <si>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</si>
  <si>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</si>
  <si>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</si>
  <si>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</si>
  <si>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</si>
  <si>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</si>
  <si>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</si>
  <si>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</si>
  <si>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</si>
  <si>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</si>
  <si>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</si>
  <si>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</si>
  <si>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</si>
  <si>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</si>
  <si>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</si>
  <si>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</si>
  <si>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</si>
  <si>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</si>
  <si>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</si>
  <si>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</si>
  <si>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</si>
  <si>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</si>
  <si>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</si>
  <si>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</si>
  <si>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</si>
  <si>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</si>
  <si>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</si>
  <si>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</si>
  <si>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</si>
  <si>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</si>
  <si>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</si>
  <si>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</si>
  <si>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</si>
  <si>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</si>
  <si>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</si>
  <si>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</si>
  <si>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</si>
  <si>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</si>
  <si>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</si>
  <si>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</si>
  <si>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</si>
  <si>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</si>
  <si>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</si>
  <si>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</si>
  <si>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</si>
  <si>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</si>
  <si>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</si>
  <si>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</si>
  <si>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</si>
  <si>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</si>
  <si>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</si>
  <si>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</si>
  <si>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</si>
  <si>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</si>
  <si>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</si>
  <si>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</si>
  <si>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</si>
  <si>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</si>
  <si>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</si>
  <si>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</si>
  <si>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</si>
  <si>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</si>
  <si>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</si>
  <si>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</si>
  <si>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</si>
  <si>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</si>
  <si>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</si>
  <si>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</si>
  <si>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</si>
  <si>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</si>
  <si>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</si>
  <si>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</si>
  <si>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</si>
  <si>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</si>
  <si>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</si>
  <si>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</si>
  <si>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</si>
  <si>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</si>
  <si>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</si>
  <si>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</si>
  <si>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</si>
  <si>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</si>
  <si>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</si>
  <si>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</si>
  <si>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</si>
  <si>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</si>
  <si>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</si>
  <si>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</si>
  <si>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</si>
  <si>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</si>
  <si>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</si>
  <si>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</si>
  <si>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</si>
  <si>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</si>
  <si>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</si>
  <si>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</si>
  <si>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</si>
  <si>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</si>
  <si>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</si>
  <si>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</si>
  <si>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</si>
  <si>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</si>
  <si>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</si>
  <si>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</si>
  <si>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</si>
  <si>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</si>
  <si>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</si>
  <si>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</si>
  <si>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</si>
  <si>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</si>
  <si>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</si>
  <si>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</si>
  <si>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</si>
  <si>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</si>
  <si>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</si>
  <si>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</si>
  <si>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</si>
  <si>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</si>
  <si>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</si>
  <si>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</si>
  <si>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</si>
  <si>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</si>
  <si>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</si>
  <si>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</si>
  <si>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</si>
  <si>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</si>
  <si>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</si>
  <si>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</si>
  <si>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</si>
  <si>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</si>
  <si>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</si>
  <si>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</si>
  <si>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</si>
  <si>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</si>
  <si>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</si>
  <si>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</si>
  <si>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</si>
  <si>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</si>
  <si>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</si>
  <si>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</si>
  <si>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</si>
  <si>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</si>
  <si>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</si>
  <si>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</si>
  <si>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</si>
  <si>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</si>
  <si>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</si>
  <si>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</si>
  <si>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</si>
  <si>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</si>
  <si>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</si>
  <si>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</si>
  <si>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</si>
  <si>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</si>
  <si>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</si>
  <si>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</si>
  <si>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</si>
  <si>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</si>
  <si>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</si>
  <si>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</si>
  <si>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</si>
  <si>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</si>
  <si>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</si>
  <si>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</si>
  <si>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</si>
  <si>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</si>
  <si>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</si>
  <si>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</si>
  <si>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</si>
  <si>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</si>
  <si>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</si>
  <si>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</si>
  <si>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</si>
  <si>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</si>
  <si>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</si>
  <si>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</si>
  <si>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</si>
  <si>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</si>
  <si>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</si>
  <si>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</si>
  <si>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</si>
  <si>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</si>
  <si>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</si>
  <si>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</si>
  <si>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</si>
  <si>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</si>
  <si>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</si>
  <si>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</si>
  <si>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</si>
  <si>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</si>
  <si>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</si>
  <si>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</si>
  <si>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</si>
  <si>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</si>
  <si>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</si>
  <si>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</si>
  <si>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</si>
  <si>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</si>
  <si>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</si>
  <si>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</si>
  <si>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</si>
  <si>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</si>
  <si>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</si>
  <si>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</si>
  <si>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</si>
  <si>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</si>
  <si>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</si>
  <si>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</si>
  <si>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</si>
  <si>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</si>
  <si>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</si>
  <si>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</si>
  <si>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</si>
  <si>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</si>
  <si>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</si>
  <si>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</si>
  <si>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</si>
  <si>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</si>
  <si>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</si>
  <si>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</si>
  <si>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</si>
  <si>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</si>
  <si>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</si>
  <si>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</si>
  <si>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</si>
  <si>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</si>
  <si>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</si>
  <si>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</si>
  <si>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</si>
  <si>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</si>
  <si>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</si>
  <si>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</si>
  <si>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</si>
  <si>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</si>
  <si>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</si>
  <si>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</si>
  <si>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</si>
  <si>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</si>
  <si>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</si>
  <si>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</si>
  <si>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</si>
  <si>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</si>
  <si>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</si>
  <si>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</si>
  <si>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</si>
  <si>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</si>
  <si>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</si>
  <si>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</si>
  <si>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</si>
  <si>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</si>
  <si>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</si>
  <si>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</si>
  <si>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</si>
  <si>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</si>
  <si>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</si>
  <si>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</si>
  <si>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</si>
  <si>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</si>
  <si>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</si>
  <si>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</si>
  <si>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</si>
  <si>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</si>
  <si>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</si>
  <si>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</si>
  <si>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</si>
  <si>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</si>
  <si>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</si>
  <si>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</si>
  <si>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</si>
  <si>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</si>
  <si>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</si>
  <si>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</si>
  <si>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</si>
  <si>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</si>
  <si>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</si>
  <si>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</si>
  <si>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</si>
  <si>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</si>
  <si>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</si>
  <si>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</si>
  <si>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</si>
  <si>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</si>
  <si>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</si>
  <si>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</si>
  <si>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</si>
  <si>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</si>
  <si>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</si>
  <si>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</si>
  <si>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</si>
  <si>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</si>
  <si>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</si>
  <si>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</si>
  <si>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</si>
  <si>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</si>
  <si>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</si>
  <si>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</si>
  <si>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</si>
  <si>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</si>
  <si>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</si>
  <si>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</si>
  <si>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</si>
  <si>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</si>
  <si>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</si>
  <si>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</si>
  <si>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</si>
  <si>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</si>
  <si>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</si>
  <si>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</si>
  <si>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</si>
  <si>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</si>
  <si>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</si>
  <si>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</si>
  <si>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</si>
  <si>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</si>
  <si>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</si>
  <si>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</si>
  <si>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</si>
  <si>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</si>
  <si>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</si>
  <si>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</si>
  <si>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</si>
  <si>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</si>
  <si>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</si>
  <si>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</si>
  <si>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</si>
  <si>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</si>
  <si>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</si>
  <si>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</si>
  <si>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</si>
  <si>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</si>
  <si>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</si>
  <si>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</si>
  <si>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</si>
  <si>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</si>
  <si>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</si>
  <si>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</si>
  <si>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</si>
  <si>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</si>
  <si>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</si>
  <si>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</si>
  <si>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</si>
  <si>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</si>
  <si>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</si>
  <si>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</si>
  <si>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</si>
  <si>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</si>
  <si>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</si>
  <si>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</si>
  <si>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</si>
  <si>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</si>
  <si>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</si>
  <si>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</si>
  <si>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</si>
  <si>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</si>
  <si>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</si>
  <si>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</si>
  <si>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</si>
  <si>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</si>
  <si>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</si>
  <si>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</si>
  <si>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</si>
  <si>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</si>
  <si>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</si>
  <si>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</si>
  <si>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</si>
  <si>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</si>
  <si>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</si>
  <si>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</si>
  <si>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</si>
  <si>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</si>
  <si>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</si>
  <si>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</si>
  <si>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</si>
  <si>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</si>
  <si>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</si>
  <si>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</si>
  <si>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</si>
  <si>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</si>
  <si>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</si>
  <si>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</si>
  <si>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</si>
  <si>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</si>
  <si>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</si>
  <si>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</si>
  <si>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</si>
  <si>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</si>
  <si>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</si>
  <si>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</si>
  <si>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</si>
  <si>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</si>
  <si>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</si>
  <si>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</si>
  <si>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</si>
  <si>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</si>
  <si>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</si>
  <si>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</si>
  <si>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</si>
  <si>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</si>
  <si>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</si>
  <si>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</si>
  <si>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</si>
  <si>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</si>
  <si>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</si>
  <si>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</si>
  <si>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</si>
  <si>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</si>
  <si>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</si>
  <si>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</si>
  <si>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</si>
  <si>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</si>
  <si>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</si>
  <si>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</si>
  <si>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</si>
  <si>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</si>
  <si>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</si>
  <si>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</si>
  <si>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</si>
  <si>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</si>
  <si>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</si>
  <si>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</si>
  <si>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</si>
  <si>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</si>
  <si>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</si>
  <si>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</si>
  <si>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</si>
  <si>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</si>
  <si>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</si>
  <si>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</si>
  <si>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</si>
  <si>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</si>
  <si>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</si>
  <si>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</si>
  <si>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</si>
  <si>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</si>
  <si>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</si>
  <si>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</si>
  <si>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</si>
  <si>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</si>
  <si>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</si>
  <si>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</si>
  <si>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</si>
  <si>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</si>
  <si>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</si>
  <si>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</si>
  <si>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</si>
  <si>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</si>
  <si>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</si>
  <si>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</si>
  <si>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</si>
  <si>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</si>
  <si>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</si>
  <si>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</si>
  <si>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</si>
  <si>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</si>
  <si>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</si>
  <si>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</si>
  <si>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</si>
  <si>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</si>
  <si>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</si>
  <si>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</si>
  <si>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</si>
  <si>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</si>
  <si>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</si>
  <si>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</si>
  <si>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</si>
  <si>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</si>
  <si>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</si>
  <si>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</si>
  <si>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</si>
  <si>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</si>
  <si>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</si>
  <si>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</si>
  <si>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</si>
  <si>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</si>
  <si>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</si>
  <si>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</si>
  <si>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</si>
  <si>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</si>
  <si>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</si>
  <si>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</si>
  <si>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</si>
  <si>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</si>
  <si>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</si>
  <si>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</si>
  <si>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</si>
  <si>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</si>
  <si>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</si>
  <si>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</si>
  <si>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</si>
  <si>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</si>
  <si>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</si>
  <si>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</si>
  <si>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</si>
  <si>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</si>
  <si>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</si>
  <si>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</si>
  <si>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</si>
  <si>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</si>
  <si>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</si>
  <si>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</si>
  <si>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</si>
  <si>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</si>
  <si>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</si>
  <si>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</si>
  <si>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</si>
  <si>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</si>
  <si>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</si>
  <si>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</si>
  <si>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</si>
  <si>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</si>
  <si>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</si>
  <si>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</si>
  <si>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</si>
  <si>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</si>
  <si>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</si>
  <si>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</si>
  <si>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</si>
  <si>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</si>
  <si>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</si>
  <si>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</si>
  <si>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</si>
  <si>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</si>
  <si>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</si>
  <si>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</si>
  <si>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</si>
  <si>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</si>
  <si>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</si>
  <si>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</si>
  <si>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</si>
  <si>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</si>
  <si>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</si>
  <si>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</si>
  <si>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</si>
  <si>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</si>
  <si>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</si>
  <si>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</si>
  <si>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</si>
  <si>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</si>
  <si>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</si>
  <si>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</si>
  <si>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</si>
  <si>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</si>
  <si>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</si>
  <si>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</si>
  <si>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</si>
  <si>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</si>
  <si>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</si>
  <si>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</si>
  <si>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</si>
  <si>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</si>
  <si>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</si>
  <si>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</si>
  <si>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</si>
  <si>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</si>
  <si>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</si>
  <si>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</si>
  <si>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</si>
  <si>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</si>
  <si>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</si>
  <si>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</si>
  <si>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</si>
  <si>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</si>
  <si>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</si>
  <si>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</si>
  <si>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</si>
  <si>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</si>
  <si>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</si>
  <si>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</si>
  <si>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</si>
  <si>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</si>
  <si>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</si>
  <si>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</si>
  <si>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</si>
  <si>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</si>
  <si>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</si>
  <si>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</si>
  <si>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</si>
  <si>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</si>
  <si>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</si>
  <si>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</si>
  <si>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</si>
  <si>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</si>
  <si>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</si>
  <si>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</si>
  <si>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</si>
  <si>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</si>
  <si>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</si>
  <si>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</si>
  <si>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</si>
  <si>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</si>
  <si>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</si>
  <si>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</si>
  <si>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</si>
  <si>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</si>
  <si>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</si>
  <si>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</si>
  <si>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</si>
  <si>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</si>
  <si>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</si>
  <si>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</si>
  <si>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</si>
  <si>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</si>
  <si>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</si>
  <si>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</si>
  <si>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</si>
  <si>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</si>
  <si>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</si>
  <si>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</si>
  <si>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</si>
  <si>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</si>
  <si>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</si>
  <si>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</si>
  <si>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</si>
  <si>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</si>
  <si>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</si>
  <si>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</si>
  <si>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</si>
  <si>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</si>
  <si>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</si>
  <si>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</si>
  <si>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</si>
  <si>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</si>
  <si>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</si>
  <si>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</si>
  <si>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</si>
  <si>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</si>
  <si>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</si>
  <si>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</si>
  <si>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</si>
  <si>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</si>
  <si>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</si>
  <si>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</si>
  <si>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</si>
  <si>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</si>
  <si>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</si>
  <si>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</si>
  <si>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</si>
  <si>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</si>
  <si>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</si>
  <si>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</si>
  <si>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</si>
  <si>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</si>
  <si>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</si>
  <si>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</si>
  <si>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</si>
  <si>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</si>
  <si>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</si>
  <si>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</si>
  <si>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</si>
  <si>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</si>
  <si>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</si>
  <si>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</si>
  <si>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</si>
  <si>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</si>
  <si>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</si>
  <si>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</si>
  <si>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</si>
  <si>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</si>
  <si>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</si>
  <si>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</si>
  <si>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</si>
  <si>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</si>
  <si>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</si>
  <si>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</si>
  <si>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</si>
  <si>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</si>
  <si>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</si>
  <si>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</si>
  <si>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</si>
  <si>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</si>
  <si>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</si>
  <si>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</si>
  <si>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</si>
  <si>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</si>
  <si>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</si>
  <si>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</si>
  <si>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</si>
  <si>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</si>
  <si>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</si>
  <si>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</si>
  <si>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</si>
  <si>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</si>
  <si>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</si>
  <si>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</si>
  <si>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</si>
  <si>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</si>
  <si>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</si>
  <si>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</si>
  <si>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</si>
  <si>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</si>
  <si>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</si>
  <si>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</si>
  <si>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</si>
  <si>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</si>
  <si>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</si>
  <si>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</si>
  <si>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</si>
  <si>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</si>
  <si>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</si>
  <si>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</si>
  <si>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</si>
  <si>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</si>
  <si>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</si>
  <si>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</si>
  <si>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</si>
  <si>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</si>
  <si>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</si>
  <si>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</si>
  <si>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</si>
  <si>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</si>
  <si>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</si>
  <si>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</si>
  <si>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</si>
  <si>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</si>
  <si>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</si>
  <si>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</si>
  <si>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</si>
  <si>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</si>
  <si>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</si>
  <si>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</si>
  <si>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</si>
  <si>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</si>
  <si>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</si>
  <si>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</si>
  <si>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</si>
  <si>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</si>
  <si>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</si>
  <si>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</si>
  <si>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</si>
  <si>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</si>
  <si>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</si>
  <si>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</si>
  <si>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</si>
  <si>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</si>
  <si>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</si>
  <si>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</si>
  <si>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</si>
  <si>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</si>
  <si>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</si>
  <si>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</si>
  <si>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</si>
  <si>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</si>
  <si>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</si>
  <si>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</si>
  <si>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</si>
  <si>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</si>
  <si>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</si>
  <si>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</si>
  <si>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</si>
  <si>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</si>
  <si>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</si>
  <si>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</si>
  <si>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</si>
  <si>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</si>
  <si>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</si>
  <si>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</si>
  <si>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</si>
  <si>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</si>
  <si>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</si>
  <si>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</si>
  <si>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</si>
  <si>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</si>
  <si>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</si>
  <si>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</si>
  <si>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</si>
  <si>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</si>
  <si>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</si>
  <si>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</si>
  <si>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</si>
  <si>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</si>
  <si>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</si>
  <si>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</si>
  <si>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</si>
  <si>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</si>
  <si>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</si>
  <si>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</si>
  <si>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</si>
  <si>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</si>
  <si>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</si>
  <si>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</si>
  <si>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</si>
  <si>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</si>
  <si>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</si>
  <si>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</si>
  <si>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</si>
  <si>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</si>
  <si>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</si>
  <si>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</si>
  <si>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</si>
  <si>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</si>
  <si>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</si>
  <si>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</si>
  <si>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</si>
  <si>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</si>
  <si>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</si>
  <si>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</si>
  <si>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</si>
  <si>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</si>
  <si>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</si>
  <si>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</si>
  <si>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</si>
  <si>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</si>
  <si>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</si>
  <si>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</si>
  <si>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</si>
  <si>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</si>
  <si>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</si>
  <si>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</si>
  <si>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</si>
  <si>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</si>
  <si>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</si>
  <si>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</si>
  <si>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</si>
  <si>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</si>
  <si>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</si>
  <si>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</si>
  <si>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</si>
  <si>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</si>
  <si>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</si>
  <si>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</si>
  <si>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</si>
  <si>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</si>
  <si>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</si>
  <si>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</si>
  <si>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</si>
  <si>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</si>
  <si>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</si>
  <si>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</si>
  <si>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</si>
  <si>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</si>
  <si>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</si>
  <si>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</si>
  <si>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</si>
  <si>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</si>
  <si>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</si>
  <si>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</si>
  <si>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</si>
  <si>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</si>
  <si>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</si>
  <si>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</si>
  <si>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</si>
  <si>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</si>
  <si>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</si>
  <si>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</si>
  <si>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</si>
  <si>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</si>
  <si>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</si>
  <si>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</si>
  <si>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</si>
  <si>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</si>
  <si>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</si>
  <si>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</si>
  <si>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</si>
  <si>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</si>
  <si>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</si>
  <si>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</si>
  <si>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</si>
  <si>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</si>
  <si>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</si>
  <si>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</si>
  <si>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</si>
  <si>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</si>
  <si>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</si>
  <si>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</si>
  <si>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</si>
  <si>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</si>
  <si>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</si>
  <si>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</si>
  <si>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</si>
  <si>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</si>
  <si>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</si>
  <si>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</si>
  <si>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</si>
  <si>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</si>
  <si>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</si>
  <si>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</si>
  <si>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</si>
  <si>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</si>
  <si>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</si>
  <si>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</si>
  <si>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</si>
  <si>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</si>
  <si>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</si>
  <si>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</si>
  <si>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</si>
  <si>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</si>
  <si>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</si>
  <si>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</si>
  <si>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</si>
  <si>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</si>
  <si>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</si>
  <si>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</si>
  <si>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</si>
  <si>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</si>
  <si>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</si>
  <si>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</si>
  <si>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</si>
  <si>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</si>
  <si>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</si>
  <si>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</si>
  <si>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</si>
  <si>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</si>
  <si>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</si>
  <si>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</si>
  <si>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</si>
  <si>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</si>
  <si>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</si>
  <si>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</si>
  <si>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</si>
  <si>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</si>
  <si>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</si>
  <si>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</si>
  <si>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</si>
  <si>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</si>
  <si>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</si>
  <si>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</si>
  <si>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</si>
  <si>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</si>
  <si>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</si>
  <si>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</si>
  <si>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</si>
  <si>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</si>
  <si>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</si>
  <si>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</si>
  <si>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</si>
  <si>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</si>
  <si>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</si>
  <si>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</si>
  <si>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</si>
  <si>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</si>
  <si>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</si>
  <si>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</si>
  <si>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</si>
  <si>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</si>
  <si>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</si>
  <si>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</si>
  <si>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</si>
  <si>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</si>
  <si>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</si>
  <si>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</si>
  <si>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</si>
  <si>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</si>
  <si>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</si>
  <si>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</si>
  <si>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</si>
  <si>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</si>
  <si>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</si>
  <si>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</si>
  <si>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</si>
  <si>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</si>
  <si>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</si>
  <si>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</si>
  <si>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</si>
  <si>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</si>
  <si>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</si>
  <si>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</si>
  <si>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</si>
  <si>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</si>
  <si>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</si>
  <si>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</si>
  <si>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</si>
  <si>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</si>
  <si>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</si>
  <si>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</si>
  <si>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</si>
  <si>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</si>
  <si>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</si>
  <si>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</si>
  <si>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</si>
  <si>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</si>
  <si>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</si>
  <si>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</si>
  <si>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</si>
  <si>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</si>
  <si>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</si>
  <si>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</si>
  <si>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</si>
  <si>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</si>
  <si>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</si>
  <si>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</si>
  <si>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</si>
  <si>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</si>
  <si>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</si>
  <si>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</si>
  <si>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</si>
  <si>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</si>
  <si>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</si>
  <si>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</si>
  <si>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</si>
  <si>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</si>
  <si>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</si>
  <si>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</si>
  <si>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</si>
  <si>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</si>
  <si>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</si>
  <si>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</si>
  <si>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</si>
  <si>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</si>
  <si>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</si>
  <si>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</si>
  <si>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</si>
  <si>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</si>
  <si>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</si>
  <si>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</si>
  <si>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</si>
  <si>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</si>
  <si>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</si>
  <si>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</si>
  <si>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</si>
  <si>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</si>
  <si>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</si>
  <si>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</si>
  <si>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</si>
  <si>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</si>
  <si>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</si>
  <si>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</si>
  <si>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</si>
  <si>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</si>
  <si>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</si>
  <si>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</si>
  <si>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</si>
  <si>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</si>
  <si>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</si>
  <si>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</si>
  <si>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</si>
  <si>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</si>
  <si>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</si>
  <si>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</si>
  <si>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</si>
  <si>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</si>
  <si>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</si>
  <si>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</si>
  <si>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</si>
  <si>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</si>
  <si>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</si>
  <si>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</si>
  <si>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</si>
  <si>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</si>
  <si>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</si>
  <si>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</si>
  <si>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</si>
  <si>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</si>
  <si>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</si>
  <si>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</si>
  <si>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</si>
  <si>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</si>
  <si>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</si>
  <si>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</si>
  <si>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</si>
  <si>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</si>
  <si>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</si>
  <si>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</si>
  <si>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</si>
  <si>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</si>
  <si>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</si>
  <si>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</si>
  <si>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</si>
  <si>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</si>
  <si>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</si>
  <si>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</si>
  <si>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</si>
  <si>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</si>
  <si>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</si>
  <si>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</si>
  <si>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</si>
  <si>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</si>
  <si>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</si>
  <si>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</si>
  <si>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</si>
  <si>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</si>
  <si>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</si>
  <si>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</si>
  <si>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</si>
  <si>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</si>
  <si>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</si>
  <si>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</si>
  <si>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</si>
  <si>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</si>
  <si>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</si>
  <si>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</si>
  <si>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</si>
  <si>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</si>
  <si>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</si>
  <si>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</si>
  <si>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</si>
  <si>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</si>
  <si>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</si>
  <si>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</si>
  <si>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</si>
  <si>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</si>
  <si>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</si>
  <si>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</si>
  <si>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</si>
  <si>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</si>
  <si>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</si>
  <si>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</si>
  <si>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</si>
  <si>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</si>
  <si>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</si>
  <si>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</si>
  <si>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</si>
  <si>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</si>
  <si>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</si>
  <si>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</si>
  <si>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</si>
  <si>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</si>
  <si>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</si>
  <si>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</si>
  <si>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</si>
  <si>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</si>
  <si>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</si>
  <si>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</si>
  <si>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</si>
  <si>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</si>
  <si>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</si>
  <si>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</si>
  <si>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</si>
  <si>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</si>
  <si>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</si>
  <si>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</si>
  <si>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</si>
  <si>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</si>
  <si>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</si>
  <si>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</si>
  <si>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</si>
  <si>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</si>
  <si>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</si>
  <si>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</si>
  <si>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</si>
  <si>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</si>
  <si>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</si>
  <si>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</si>
  <si>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</si>
  <si>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</si>
  <si>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</si>
  <si>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</si>
  <si>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</si>
  <si>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</si>
  <si>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</si>
  <si>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</si>
  <si>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</si>
  <si>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</si>
  <si>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</si>
  <si>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</si>
  <si>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</si>
  <si>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</si>
  <si>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</si>
  <si>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</si>
  <si>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</si>
  <si>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</si>
  <si>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</si>
  <si>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</si>
  <si>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</si>
  <si>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</si>
  <si>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</si>
  <si>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</si>
  <si>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</si>
  <si>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</si>
  <si>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</si>
  <si>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</si>
  <si>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</si>
  <si>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</si>
  <si>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</si>
  <si>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</si>
  <si>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</si>
  <si>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</si>
  <si>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</si>
  <si>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</si>
  <si>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</si>
  <si>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</si>
  <si>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</si>
  <si>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</si>
  <si>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</si>
  <si>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</si>
  <si>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</si>
  <si>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</si>
  <si>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</si>
  <si>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</si>
  <si>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</si>
  <si>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</si>
  <si>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</si>
  <si>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</si>
  <si>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</si>
  <si>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</si>
  <si>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</si>
  <si>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</si>
  <si>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</si>
  <si>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</si>
  <si>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</si>
  <si>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</si>
  <si>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</si>
  <si>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</si>
  <si>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</si>
  <si>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</si>
  <si>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</si>
  <si>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</si>
  <si>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</si>
  <si>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</si>
  <si>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</si>
  <si>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</si>
  <si>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</si>
  <si>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</si>
  <si>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</si>
  <si>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</si>
  <si>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</si>
  <si>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</si>
  <si>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</si>
  <si>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</si>
  <si>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</si>
  <si>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</si>
  <si>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</si>
  <si>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</si>
  <si>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</si>
  <si>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</si>
  <si>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</si>
  <si>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</si>
  <si>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</si>
  <si>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</si>
  <si>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</si>
  <si>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</si>
  <si>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</si>
  <si>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</si>
  <si>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</si>
  <si>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</si>
  <si>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</si>
  <si>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</si>
  <si>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</si>
  <si>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</si>
  <si>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</si>
  <si>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</si>
  <si>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</si>
  <si>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</si>
  <si>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</si>
  <si>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</si>
  <si>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</si>
  <si>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</si>
  <si>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</si>
  <si>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</si>
  <si>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</si>
  <si>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</si>
  <si>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</si>
  <si>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</si>
  <si>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</si>
  <si>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</si>
  <si>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</si>
  <si>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</si>
  <si>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</si>
  <si>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</si>
  <si>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</si>
  <si>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</si>
  <si>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</si>
  <si>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</si>
  <si>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</si>
  <si>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</si>
  <si>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</si>
  <si>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</si>
  <si>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</si>
  <si>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</si>
  <si>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</si>
  <si>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</si>
  <si>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</si>
  <si>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</si>
  <si>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</si>
  <si>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</si>
  <si>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</si>
  <si>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</si>
  <si>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</si>
  <si>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</si>
  <si>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</si>
  <si>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</si>
  <si>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</si>
  <si>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</si>
  <si>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</si>
  <si>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</si>
  <si>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</si>
  <si>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</si>
  <si>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</si>
  <si>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</si>
  <si>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</si>
  <si>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</si>
  <si>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</si>
  <si>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</si>
  <si>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</si>
  <si>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</si>
  <si>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</si>
  <si>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</si>
  <si>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</si>
  <si>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</si>
  <si>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</si>
  <si>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</si>
  <si>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</si>
  <si>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</si>
  <si>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</si>
  <si>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</si>
  <si>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</si>
  <si>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</si>
  <si>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</si>
  <si>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</si>
  <si>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</si>
  <si>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</si>
  <si>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</si>
  <si>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</si>
  <si>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</si>
  <si>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</si>
  <si>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</si>
  <si>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</si>
  <si>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</si>
  <si>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</si>
  <si>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</si>
  <si>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</si>
  <si>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</si>
  <si>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</si>
  <si>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</si>
  <si>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</si>
  <si>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</si>
  <si>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</si>
  <si>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</si>
  <si>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</si>
  <si>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</si>
  <si>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</si>
  <si>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</si>
  <si>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</si>
  <si>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</si>
  <si>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</si>
  <si>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</si>
  <si>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</si>
  <si>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</si>
  <si>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</si>
  <si>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</si>
  <si>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</si>
  <si>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</si>
  <si>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</si>
  <si>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</si>
  <si>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</si>
  <si>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</si>
  <si>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</si>
  <si>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</si>
  <si>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</si>
  <si>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</si>
  <si>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</si>
  <si>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</si>
  <si>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</si>
  <si>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</si>
  <si>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</si>
  <si>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</si>
  <si>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</si>
  <si>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</si>
  <si>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</si>
  <si>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</si>
  <si>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</si>
  <si>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</si>
  <si>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</si>
  <si>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</si>
  <si>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</si>
  <si>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</si>
  <si>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</si>
  <si>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</si>
  <si>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</si>
  <si>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</si>
  <si>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</si>
  <si>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</si>
  <si>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</si>
  <si>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</si>
  <si>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</si>
  <si>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</si>
  <si>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</si>
  <si>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</si>
  <si>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</si>
  <si>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</si>
  <si>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</si>
  <si>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</si>
  <si>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</si>
  <si>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</si>
  <si>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</si>
  <si>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</si>
  <si>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</si>
  <si>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</si>
  <si>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</si>
  <si>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</si>
  <si>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</si>
  <si>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</si>
  <si>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</si>
  <si>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</si>
  <si>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</si>
  <si>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</si>
  <si>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</si>
  <si>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</si>
  <si>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</si>
  <si>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</si>
  <si>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</si>
  <si>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</si>
  <si>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</si>
  <si>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</si>
  <si>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</si>
  <si>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</si>
  <si>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</si>
  <si>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</si>
  <si>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</si>
  <si>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</si>
  <si>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</si>
  <si>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</si>
  <si>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</si>
  <si>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</si>
  <si>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</si>
  <si>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</si>
  <si>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</si>
  <si>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</si>
  <si>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</si>
  <si>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</si>
  <si>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</si>
  <si>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</si>
  <si>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</si>
  <si>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</si>
  <si>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</si>
  <si>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</si>
  <si>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</si>
  <si>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</si>
  <si>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</si>
  <si>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</si>
  <si>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</si>
  <si>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</si>
  <si>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</si>
  <si>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</si>
  <si>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</si>
  <si>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</si>
  <si>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</si>
  <si>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</si>
  <si>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</si>
  <si>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</si>
  <si>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</si>
  <si>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</si>
  <si>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</si>
  <si>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</si>
  <si>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</si>
  <si>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</si>
  <si>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</si>
  <si>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</si>
  <si>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</si>
  <si>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</si>
  <si>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</si>
  <si>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</si>
  <si>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</si>
  <si>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</si>
  <si>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</si>
  <si>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</si>
  <si>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</si>
  <si>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</si>
  <si>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</si>
  <si>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</si>
  <si>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</si>
  <si>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</si>
  <si>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</si>
  <si>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</si>
  <si>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</si>
  <si>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</si>
  <si>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</si>
  <si>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</si>
  <si>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</si>
  <si>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</si>
  <si>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</si>
  <si>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</si>
  <si>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</si>
  <si>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</si>
  <si>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</si>
  <si>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</si>
  <si>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</si>
  <si>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</si>
  <si>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</si>
  <si>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</si>
  <si>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</si>
  <si>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</si>
  <si>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</si>
  <si>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</si>
  <si>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</si>
  <si>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</si>
  <si>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</si>
  <si>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</si>
  <si>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</si>
  <si>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</si>
  <si>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</si>
  <si>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</si>
  <si>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</si>
  <si>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</si>
  <si>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</si>
  <si>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</si>
  <si>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</si>
  <si>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</si>
  <si>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</si>
  <si>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</si>
  <si>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</si>
  <si>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</si>
  <si>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</si>
  <si>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</si>
  <si>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</si>
  <si>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</si>
  <si>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</si>
  <si>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</si>
  <si>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</si>
  <si>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</si>
  <si>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</si>
  <si>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</si>
  <si>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</si>
  <si>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</si>
  <si>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</si>
  <si>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</si>
  <si>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</si>
  <si>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</si>
  <si>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</si>
  <si>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</si>
  <si>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</si>
  <si>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</si>
  <si>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</si>
  <si>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</si>
  <si>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</si>
  <si>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</si>
  <si>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</si>
  <si>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</si>
  <si>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</si>
  <si>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</si>
  <si>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</si>
  <si>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</si>
  <si>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</si>
  <si>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</si>
  <si>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</si>
  <si>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</si>
  <si>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</si>
  <si>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</si>
  <si>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</si>
  <si>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</si>
  <si>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</si>
  <si>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</si>
  <si>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</si>
  <si>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</si>
  <si>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</si>
  <si>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</si>
  <si>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</si>
  <si>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</si>
  <si>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</si>
  <si>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</si>
  <si>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</si>
  <si>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</si>
  <si>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</si>
  <si>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</si>
  <si>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</si>
  <si>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</si>
  <si>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</si>
  <si>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</si>
  <si>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</si>
  <si>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</si>
  <si>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</si>
  <si>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</si>
  <si>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</si>
  <si>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</si>
  <si>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</si>
  <si>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</si>
  <si>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</si>
  <si>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</si>
  <si>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</si>
  <si>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</si>
  <si>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</si>
  <si>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</si>
  <si>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</si>
  <si>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</si>
  <si>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</si>
  <si>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</si>
  <si>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</si>
  <si>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</si>
  <si>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</si>
  <si>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</si>
  <si>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</si>
  <si>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</si>
  <si>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</si>
  <si>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</si>
  <si>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</si>
  <si>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</si>
  <si>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</si>
  <si>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</si>
  <si>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</si>
  <si>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</si>
  <si>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</si>
  <si>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</si>
  <si>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</si>
  <si>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</si>
  <si>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</si>
  <si>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</si>
  <si>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</si>
  <si>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</si>
  <si>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</si>
  <si>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</si>
  <si>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</si>
  <si>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</si>
  <si>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</si>
  <si>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</si>
  <si>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</si>
  <si>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</si>
  <si>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</si>
  <si>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</si>
  <si>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</si>
  <si>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</si>
  <si>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</si>
  <si>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</si>
  <si>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</si>
  <si>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</si>
  <si>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</si>
  <si>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</si>
  <si>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</si>
  <si>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</si>
  <si>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</si>
  <si>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</si>
  <si>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</si>
  <si>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</si>
  <si>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</si>
  <si>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</si>
  <si>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</si>
  <si>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</si>
  <si>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</si>
  <si>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</si>
  <si>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</si>
  <si>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</si>
  <si>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</si>
  <si>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</si>
  <si>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</si>
  <si>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</si>
  <si>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</si>
  <si>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</si>
  <si>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</si>
  <si>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</si>
  <si>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</si>
  <si>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</si>
  <si>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</si>
  <si>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</si>
  <si>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</si>
  <si>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</si>
  <si>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</si>
  <si>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</si>
  <si>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</si>
  <si>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</si>
  <si>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</si>
  <si>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</si>
  <si>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</si>
  <si>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</si>
  <si>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</si>
  <si>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</si>
  <si>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</si>
  <si>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</si>
  <si>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</si>
  <si>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</si>
  <si>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</si>
  <si>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</si>
  <si>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</si>
  <si>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</si>
  <si>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</si>
  <si>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</si>
  <si>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</si>
  <si>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</si>
  <si>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</si>
  <si>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</si>
  <si>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</si>
  <si>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</si>
  <si>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</si>
  <si>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</si>
  <si>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</si>
  <si>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</si>
  <si>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</si>
  <si>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</si>
  <si>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</si>
  <si>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</si>
  <si>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</si>
  <si>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</si>
  <si>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</si>
  <si>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</si>
  <si>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</si>
  <si>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</si>
  <si>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</si>
  <si>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</si>
  <si>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</si>
  <si>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</si>
  <si>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</si>
  <si>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</si>
  <si>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</si>
  <si>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</si>
  <si>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</si>
  <si>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</si>
  <si>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</si>
  <si>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</si>
  <si>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</si>
  <si>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</si>
  <si>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</si>
  <si>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</si>
  <si>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</si>
  <si>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</si>
  <si>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</si>
  <si>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</si>
  <si>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</si>
  <si>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</si>
  <si>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</si>
  <si>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</si>
  <si>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</si>
  <si>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</si>
  <si>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</si>
  <si>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</si>
  <si>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</si>
  <si>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</si>
  <si>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</si>
  <si>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</si>
  <si>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</si>
  <si>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</si>
  <si>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</si>
  <si>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</si>
  <si>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</si>
  <si>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</si>
  <si>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</si>
  <si>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</si>
  <si>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</si>
  <si>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</si>
  <si>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</si>
  <si>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</si>
  <si>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</si>
  <si>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</si>
  <si>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</si>
  <si>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</si>
  <si>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</si>
  <si>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</si>
  <si>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</si>
  <si>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</si>
  <si>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</si>
  <si>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</si>
  <si>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</si>
  <si>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</si>
  <si>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</si>
  <si>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</si>
  <si>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</si>
  <si>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</si>
  <si>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</si>
  <si>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</si>
  <si>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</si>
  <si>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</si>
  <si>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</si>
  <si>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</si>
  <si>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</si>
  <si>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</si>
  <si>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</si>
  <si>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</si>
  <si>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</si>
  <si>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</si>
  <si>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</si>
  <si>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</si>
  <si>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</si>
  <si>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</si>
  <si>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</si>
  <si>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</si>
  <si>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</si>
  <si>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</si>
  <si>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</si>
  <si>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</si>
  <si>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</si>
  <si>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</si>
  <si>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</si>
  <si>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</si>
  <si>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</si>
  <si>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</si>
  <si>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</si>
  <si>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</si>
  <si>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</si>
  <si>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</si>
  <si>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</si>
  <si>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</si>
  <si>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</si>
  <si>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</si>
  <si>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</si>
  <si>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</si>
  <si>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</si>
  <si>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</si>
  <si>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</si>
  <si>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</si>
  <si>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</si>
  <si>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</si>
  <si>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</si>
  <si>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</si>
  <si>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</si>
  <si>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</si>
  <si>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</si>
  <si>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</si>
  <si>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</si>
  <si>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</si>
  <si>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</si>
  <si>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</si>
  <si>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</si>
  <si>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</si>
  <si>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</si>
  <si>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</si>
  <si>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</si>
  <si>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</si>
  <si>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</si>
  <si>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</si>
  <si>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</si>
  <si>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</si>
  <si>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</si>
  <si>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</si>
  <si>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</si>
  <si>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</si>
  <si>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</si>
  <si>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</si>
  <si>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</si>
  <si>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</si>
  <si>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</si>
  <si>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</si>
  <si>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</si>
  <si>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</si>
  <si>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</si>
  <si>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</si>
  <si>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</si>
  <si>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</si>
  <si>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</si>
  <si>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</si>
  <si>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</si>
  <si>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</si>
  <si>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</si>
  <si>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</si>
  <si>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</si>
  <si>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</si>
  <si>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</si>
  <si>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</si>
  <si>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</si>
  <si>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</si>
  <si>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</si>
  <si>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</si>
  <si>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</si>
  <si>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</si>
  <si>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</si>
  <si>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</si>
  <si>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</si>
  <si>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</si>
  <si>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</si>
  <si>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</si>
  <si>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</si>
  <si>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</si>
  <si>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</si>
  <si>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</si>
  <si>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</si>
  <si>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</si>
  <si>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</si>
  <si>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</si>
  <si>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</si>
  <si>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</si>
  <si>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</si>
  <si>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</si>
  <si>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</si>
  <si>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</si>
  <si>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</si>
  <si>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</si>
  <si>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</si>
  <si>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</si>
  <si>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</si>
  <si>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</si>
  <si>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</si>
  <si>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</si>
  <si>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</si>
  <si>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</si>
  <si>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</si>
  <si>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</si>
  <si>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</si>
  <si>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</si>
  <si>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</si>
  <si>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</si>
  <si>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</si>
  <si>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</si>
  <si>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</si>
  <si>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</si>
  <si>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</si>
  <si>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</si>
  <si>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</si>
  <si>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</si>
  <si>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</si>
  <si>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</si>
  <si>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</si>
  <si>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</si>
  <si>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</si>
  <si>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</si>
  <si>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</si>
  <si>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</si>
  <si>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</si>
  <si>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</si>
  <si>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</si>
  <si>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</si>
  <si>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</si>
  <si>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</si>
  <si>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</si>
  <si>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</si>
  <si>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</si>
  <si>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</si>
  <si>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</si>
  <si>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</si>
  <si>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</si>
  <si>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</si>
  <si>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</si>
  <si>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</si>
  <si>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</si>
  <si>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</si>
  <si>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</si>
  <si>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</si>
  <si>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</si>
  <si>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</si>
  <si>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</si>
  <si>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</si>
  <si>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</si>
  <si>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</si>
  <si>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</si>
  <si>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</si>
  <si>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</si>
  <si>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</si>
  <si>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</si>
  <si>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</si>
  <si>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</si>
  <si>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</si>
  <si>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</si>
  <si>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</si>
  <si>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</si>
  <si>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</si>
  <si>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</si>
  <si>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</si>
  <si>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</si>
  <si>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</si>
  <si>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</si>
  <si>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</si>
  <si>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</si>
  <si>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</si>
  <si>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</si>
  <si>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</si>
  <si>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</si>
  <si>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</si>
  <si>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</si>
  <si>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</si>
  <si>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</si>
  <si>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</si>
  <si>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</si>
  <si>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</si>
  <si>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</si>
  <si>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</si>
  <si>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</si>
  <si>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</si>
  <si>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</si>
  <si>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</si>
  <si>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</si>
  <si>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</si>
  <si>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</si>
  <si>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</si>
  <si>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</si>
  <si>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</si>
  <si>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</si>
  <si>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</si>
  <si>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</si>
  <si>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</si>
  <si>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</si>
  <si>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</si>
  <si>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</si>
  <si>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</si>
  <si>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</si>
  <si>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</si>
  <si>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</si>
  <si>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</si>
  <si>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</si>
  <si>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</si>
  <si>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</si>
  <si>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</si>
  <si>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</si>
  <si>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</si>
  <si>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</si>
  <si>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</si>
  <si>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</si>
  <si>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</si>
  <si>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</si>
  <si>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</si>
  <si>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</si>
  <si>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</si>
  <si>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</si>
  <si>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</si>
  <si>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</si>
  <si>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</si>
  <si>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</si>
  <si>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</si>
  <si>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</si>
  <si>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</si>
  <si>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</si>
  <si>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</si>
  <si>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</si>
  <si>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</si>
  <si>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</si>
  <si>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</si>
  <si>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</si>
  <si>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</si>
  <si>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</si>
  <si>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</si>
  <si>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</si>
  <si>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</si>
  <si>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</si>
  <si>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</si>
  <si>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</si>
  <si>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</si>
  <si>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</si>
  <si>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</si>
  <si>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</si>
  <si>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</si>
  <si>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</si>
  <si>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</si>
  <si>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</si>
  <si>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</si>
  <si>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</si>
  <si>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</si>
  <si>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</si>
  <si>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</si>
  <si>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</si>
  <si>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</si>
  <si>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</si>
  <si>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</si>
  <si>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</si>
  <si>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</si>
  <si>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</si>
  <si>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</si>
  <si>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</si>
  <si>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</si>
  <si>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</si>
  <si>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</si>
  <si>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</si>
  <si>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</si>
  <si>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</si>
  <si>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</si>
  <si>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</si>
  <si>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</si>
  <si>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</si>
  <si>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</si>
  <si>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</si>
  <si>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</si>
  <si>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</si>
  <si>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</si>
  <si>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</si>
  <si>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</si>
  <si>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</si>
  <si>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</si>
  <si>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</si>
  <si>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</si>
  <si>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</si>
  <si>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</si>
  <si>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</si>
  <si>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</si>
  <si>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</si>
  <si>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</si>
  <si>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</si>
  <si>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</si>
  <si>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</si>
  <si>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</si>
  <si>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</si>
  <si>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</si>
  <si>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</si>
  <si>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</si>
  <si>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</si>
  <si>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</si>
  <si>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</si>
  <si>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</si>
  <si>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</si>
  <si>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</si>
  <si>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</si>
  <si>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</si>
  <si>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</si>
  <si>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</si>
  <si>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</si>
  <si>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</si>
  <si>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</si>
  <si>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</si>
  <si>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</si>
  <si>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</si>
  <si>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</si>
  <si>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</si>
  <si>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</si>
  <si>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</si>
  <si>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</si>
  <si>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</si>
  <si>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</si>
  <si>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</si>
  <si>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</si>
  <si>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</si>
  <si>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</si>
  <si>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</si>
  <si>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</si>
  <si>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</si>
  <si>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</si>
  <si>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</si>
  <si>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</si>
  <si>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</si>
  <si>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</si>
  <si>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</si>
  <si>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</si>
  <si>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</si>
  <si>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</si>
  <si>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</si>
  <si>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</si>
  <si>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</si>
  <si>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</si>
  <si>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</si>
  <si>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</si>
  <si>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</si>
  <si>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</si>
  <si>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</si>
  <si>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</si>
  <si>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</si>
  <si>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</si>
  <si>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</si>
  <si>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</si>
  <si>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</si>
  <si>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</si>
  <si>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</si>
  <si>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</si>
  <si>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</si>
  <si>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</si>
  <si>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</si>
  <si>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</si>
  <si>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</si>
  <si>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</si>
  <si>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</si>
  <si>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</si>
  <si>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</si>
  <si>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</si>
  <si>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</si>
  <si>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</si>
  <si>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</si>
  <si>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</si>
  <si>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</si>
  <si>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</si>
  <si>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</si>
  <si>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</si>
  <si>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</si>
  <si>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</si>
  <si>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</si>
  <si>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</si>
  <si>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</si>
  <si>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</si>
  <si>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</si>
  <si>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</si>
  <si>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</si>
  <si>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</si>
  <si>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</si>
  <si>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</si>
  <si>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</si>
  <si>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</si>
  <si>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</si>
  <si>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</si>
  <si>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</si>
  <si>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</si>
  <si>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</si>
  <si>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</si>
  <si>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</si>
  <si>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</si>
  <si>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</si>
  <si>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</si>
  <si>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</si>
  <si>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</si>
  <si>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</si>
  <si>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</si>
  <si>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</si>
  <si>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</si>
  <si>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</si>
  <si>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</si>
  <si>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</si>
  <si>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</si>
  <si>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</si>
  <si>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</si>
  <si>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</si>
  <si>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</si>
  <si>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</si>
  <si>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</si>
  <si>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</si>
  <si>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</si>
  <si>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</si>
  <si>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</si>
  <si>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</si>
  <si>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</si>
  <si>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</si>
  <si>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</si>
  <si>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</si>
  <si>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</si>
  <si>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</si>
  <si>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</si>
  <si>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</si>
  <si>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</si>
  <si>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</si>
  <si>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</si>
  <si>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</si>
  <si>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</si>
  <si>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</si>
  <si>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</si>
  <si>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</si>
  <si>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</si>
  <si>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</si>
  <si>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</si>
  <si>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</si>
  <si>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</si>
  <si>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</si>
  <si>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</si>
  <si>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</si>
  <si>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</si>
  <si>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</si>
  <si>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</si>
  <si>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</si>
  <si>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</si>
  <si>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</si>
  <si>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</si>
  <si>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</si>
  <si>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</si>
  <si>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</si>
  <si>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</si>
  <si>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</si>
  <si>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</si>
  <si>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</si>
  <si>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</si>
  <si>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</si>
  <si>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</si>
  <si>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</si>
  <si>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</si>
  <si>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</si>
  <si>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</si>
  <si>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</si>
  <si>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</si>
  <si>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</si>
  <si>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</si>
  <si>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</si>
  <si>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</si>
  <si>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</si>
  <si>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</si>
  <si>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</si>
  <si>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</si>
  <si>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</si>
  <si>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</si>
  <si>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</si>
  <si>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</si>
  <si>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</si>
  <si>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</si>
  <si>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</si>
  <si>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</si>
  <si>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</si>
  <si>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</si>
  <si>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</si>
  <si>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</si>
  <si>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</si>
  <si>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</si>
  <si>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</si>
  <si>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</si>
  <si>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</si>
  <si>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</si>
  <si>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</si>
  <si>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</si>
  <si>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</si>
  <si>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</si>
  <si>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</si>
  <si>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</si>
  <si>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</si>
  <si>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</si>
  <si>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</si>
  <si>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</si>
  <si>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</si>
  <si>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</si>
  <si>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</si>
  <si>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</si>
  <si>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</si>
  <si>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</si>
  <si>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</si>
  <si>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</si>
  <si>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</si>
  <si>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</si>
  <si>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</si>
  <si>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</si>
  <si>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</si>
  <si>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</si>
  <si>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</si>
  <si>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</si>
  <si>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</si>
  <si>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</si>
  <si>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</si>
  <si>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</si>
  <si>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</si>
  <si>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</si>
  <si>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</si>
  <si>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</si>
  <si>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</si>
  <si>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</si>
  <si>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</si>
  <si>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</si>
  <si>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</si>
  <si>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</si>
  <si>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</si>
  <si>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</si>
  <si>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</si>
  <si>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</si>
  <si>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</si>
  <si>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</si>
  <si>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</si>
  <si>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</si>
  <si>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</si>
  <si>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</si>
  <si>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</si>
  <si>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</si>
  <si>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</si>
  <si>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</si>
  <si>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</si>
  <si>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</si>
  <si>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</si>
  <si>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</si>
  <si>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</si>
  <si>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</si>
  <si>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</si>
  <si>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</si>
  <si>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</si>
  <si>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</si>
  <si>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</si>
  <si>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</si>
  <si>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</si>
  <si>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</si>
  <si>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</si>
  <si>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</si>
  <si>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</si>
  <si>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</si>
  <si>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</si>
  <si>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</si>
  <si>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</si>
  <si>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</si>
  <si>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</si>
  <si>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</si>
  <si>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</si>
  <si>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</si>
  <si>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</si>
  <si>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</si>
  <si>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</si>
  <si>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</si>
  <si>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</si>
  <si>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</si>
  <si>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</si>
  <si>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</si>
  <si>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</si>
  <si>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</si>
  <si>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</si>
  <si>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</si>
  <si>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</si>
  <si>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</si>
  <si>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</si>
  <si>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</si>
  <si>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</si>
  <si>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</si>
  <si>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</si>
  <si>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</si>
  <si>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</si>
  <si>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</si>
  <si>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</si>
  <si>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</si>
  <si>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</si>
  <si>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</si>
  <si>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</si>
  <si>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</si>
  <si>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</si>
  <si>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</si>
  <si>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</si>
  <si>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</si>
  <si>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</si>
  <si>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</si>
  <si>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</si>
  <si>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</si>
  <si>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</si>
  <si>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</si>
  <si>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</si>
  <si>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</si>
  <si>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</si>
  <si>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</si>
  <si>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</si>
  <si>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</si>
  <si>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</si>
  <si>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</si>
  <si>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</si>
  <si>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</si>
  <si>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</si>
  <si>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</si>
  <si>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</si>
  <si>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</si>
  <si>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</si>
  <si>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</si>
  <si>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</si>
  <si>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</si>
  <si>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</si>
  <si>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</si>
  <si>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</si>
  <si>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</si>
  <si>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</si>
  <si>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</si>
  <si>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</si>
  <si>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</si>
  <si>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</si>
  <si>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</si>
  <si>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</si>
  <si>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</si>
  <si>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</si>
  <si>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</si>
  <si>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</si>
  <si>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</si>
  <si>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</si>
  <si>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</si>
  <si>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</si>
  <si>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</si>
  <si>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</si>
  <si>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</si>
  <si>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</si>
  <si>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</si>
  <si>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</si>
  <si>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</si>
  <si>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</si>
  <si>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</si>
  <si>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</si>
  <si>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</si>
  <si>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</si>
  <si>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</si>
  <si>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</si>
  <si>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</si>
  <si>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</si>
  <si>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</si>
  <si>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</si>
  <si>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</si>
  <si>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</si>
  <si>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</si>
  <si>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</si>
  <si>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</si>
  <si>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</si>
  <si>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</si>
  <si>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</si>
  <si>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</si>
  <si>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</si>
  <si>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</si>
  <si>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</si>
  <si>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</si>
  <si>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</si>
  <si>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</si>
  <si>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</si>
  <si>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</si>
  <si>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</si>
  <si>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</si>
  <si>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</si>
  <si>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</si>
  <si>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</si>
  <si>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</si>
  <si>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</si>
  <si>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</si>
  <si>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</si>
  <si>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</si>
  <si>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</si>
  <si>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</si>
  <si>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</si>
  <si>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</si>
  <si>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</si>
  <si>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</si>
  <si>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</si>
  <si>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</si>
  <si>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</si>
  <si>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</si>
  <si>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</si>
  <si>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</si>
  <si>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</si>
  <si>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</si>
  <si>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</si>
  <si>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</si>
  <si>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</si>
  <si>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</si>
  <si>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</si>
  <si>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</si>
  <si>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</si>
  <si>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</si>
  <si>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</si>
  <si>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</si>
  <si>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</si>
  <si>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</si>
  <si>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</si>
  <si>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</si>
  <si>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</si>
  <si>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</si>
  <si>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</si>
  <si>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</si>
  <si>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</si>
  <si>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</si>
  <si>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</si>
  <si>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</si>
  <si>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</si>
  <si>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</si>
  <si>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</si>
  <si>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</si>
  <si>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</si>
  <si>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</si>
  <si>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</si>
  <si>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</si>
  <si>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</si>
  <si>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</si>
  <si>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</si>
  <si>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</si>
  <si>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</si>
  <si>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</si>
  <si>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</si>
  <si>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</si>
  <si>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</si>
  <si>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</si>
  <si>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</si>
  <si>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</si>
  <si>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</si>
  <si>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</si>
  <si>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</si>
  <si>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</si>
  <si>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</si>
  <si>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</si>
  <si>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</si>
  <si>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</si>
  <si>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</si>
  <si>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</si>
  <si>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</si>
  <si>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</si>
  <si>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</si>
  <si>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</si>
  <si>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</si>
  <si>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</si>
  <si>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</si>
  <si>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</si>
  <si>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</si>
  <si>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</si>
  <si>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</si>
  <si>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</si>
  <si>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</si>
  <si>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</si>
  <si>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</si>
  <si>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</si>
  <si>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</si>
  <si>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</si>
  <si>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</si>
  <si>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</si>
  <si>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</si>
  <si>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</si>
  <si>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</si>
  <si>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</si>
  <si>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</si>
  <si>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</si>
  <si>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</si>
  <si>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</si>
  <si>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</si>
  <si>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</si>
  <si>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</si>
  <si>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</si>
  <si>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</si>
  <si>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</si>
  <si>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</si>
  <si>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</si>
  <si>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</si>
  <si>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</si>
  <si>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</si>
  <si>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</si>
  <si>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</si>
  <si>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</si>
  <si>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</si>
  <si>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</si>
  <si>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</si>
  <si>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</si>
  <si>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</si>
  <si>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</si>
  <si>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</si>
  <si>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</si>
  <si>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</si>
  <si>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</si>
  <si>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</si>
  <si>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</si>
  <si>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</si>
  <si>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</si>
  <si>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</si>
  <si>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</si>
  <si>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</si>
  <si>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</si>
  <si>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</si>
  <si>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</si>
  <si>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</si>
  <si>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</si>
  <si>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</si>
  <si>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</si>
  <si>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</si>
  <si>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</si>
  <si>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</si>
  <si>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</si>
  <si>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</si>
  <si>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</si>
  <si>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</si>
  <si>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</si>
  <si>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</si>
  <si>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</si>
  <si>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</si>
  <si>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</si>
  <si>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</si>
  <si>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</si>
  <si>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</si>
  <si>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</si>
  <si>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</si>
  <si>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</si>
  <si>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</si>
  <si>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</si>
  <si>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</si>
  <si>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</si>
  <si>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</si>
  <si>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</si>
  <si>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</si>
  <si>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</si>
  <si>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</si>
  <si>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</si>
  <si>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</si>
  <si>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</si>
  <si>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</si>
  <si>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</si>
  <si>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</si>
  <si>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</si>
  <si>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</si>
  <si>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</si>
  <si>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</si>
  <si>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</si>
  <si>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</si>
  <si>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</si>
  <si>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</si>
  <si>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</si>
  <si>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</si>
  <si>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</si>
  <si>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</si>
  <si>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</si>
  <si>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</si>
  <si>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</si>
  <si>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</si>
  <si>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</si>
  <si>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</si>
  <si>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</si>
  <si>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</si>
  <si>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</si>
  <si>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</si>
  <si>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</si>
  <si>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</si>
  <si>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</si>
  <si>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</si>
  <si>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</si>
  <si>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</si>
  <si>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</si>
  <si>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</si>
  <si>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</si>
  <si>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</si>
  <si>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</si>
  <si>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</si>
  <si>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</si>
  <si>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</si>
  <si>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</si>
  <si>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</si>
  <si>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</si>
  <si>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</si>
  <si>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</si>
  <si>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</si>
  <si>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</si>
  <si>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</si>
  <si>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</si>
  <si>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</si>
  <si>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</si>
  <si>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</si>
  <si>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</si>
  <si>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</si>
  <si>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</si>
  <si>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</si>
  <si>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</si>
  <si>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</si>
  <si>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</si>
  <si>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</si>
  <si>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</si>
  <si>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</si>
  <si>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</si>
  <si>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</si>
  <si>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</si>
  <si>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</si>
  <si>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</si>
  <si>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</si>
  <si>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</si>
  <si>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</si>
  <si>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</si>
  <si>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</si>
  <si>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</si>
  <si>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</si>
  <si>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</si>
  <si>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</si>
  <si>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</si>
  <si>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</si>
  <si>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</si>
  <si>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</si>
  <si>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</si>
  <si>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</si>
  <si>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</si>
  <si>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</si>
  <si>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</si>
  <si>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</si>
  <si>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</si>
  <si>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</si>
  <si>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</si>
  <si>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</si>
  <si>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</si>
  <si>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</si>
  <si>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</si>
  <si>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</si>
  <si>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</si>
  <si>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</si>
  <si>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</si>
  <si>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</si>
  <si>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</si>
  <si>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</si>
  <si>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</si>
  <si>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</si>
  <si>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</si>
  <si>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</si>
  <si>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</si>
  <si>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</si>
  <si>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</si>
  <si>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</si>
  <si>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</si>
  <si>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</si>
  <si>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</si>
  <si>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</si>
  <si>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</si>
  <si>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</si>
  <si>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</si>
  <si>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</si>
  <si>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</si>
  <si>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</si>
  <si>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</si>
  <si>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</si>
  <si>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</si>
  <si>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</si>
  <si>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</si>
  <si>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</si>
  <si>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</si>
  <si>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</si>
  <si>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</si>
  <si>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</si>
  <si>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</si>
  <si>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</si>
  <si>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</si>
  <si>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</si>
  <si>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</si>
  <si>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</si>
  <si>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</si>
  <si>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</si>
  <si>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</si>
  <si>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</si>
  <si>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</si>
  <si>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</si>
  <si>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</si>
  <si>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</si>
  <si>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</si>
  <si>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</si>
  <si>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</si>
  <si>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</si>
  <si>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</si>
  <si>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</si>
  <si>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</si>
  <si>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</si>
  <si>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</si>
  <si>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</si>
  <si>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</si>
  <si>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</si>
  <si>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</si>
  <si>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</si>
  <si>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</si>
  <si>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</si>
  <si>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</si>
  <si>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</si>
  <si>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</si>
  <si>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</si>
  <si>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</si>
  <si>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</si>
  <si>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</si>
  <si>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</si>
  <si>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</si>
  <si>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</si>
  <si>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</si>
  <si>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</si>
  <si>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</si>
  <si>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</si>
  <si>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</si>
  <si>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</si>
  <si>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</si>
  <si>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</si>
  <si>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</si>
  <si>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</si>
  <si>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</si>
  <si>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</si>
  <si>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</si>
  <si>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</si>
  <si>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</si>
  <si>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</si>
  <si>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</si>
  <si>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</si>
  <si>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</si>
  <si>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</si>
  <si>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</si>
  <si>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</si>
  <si>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</si>
  <si>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</si>
  <si>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</si>
  <si>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</si>
  <si>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</si>
  <si>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</si>
  <si>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</si>
  <si>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</si>
  <si>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</si>
  <si>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</si>
  <si>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</si>
  <si>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</si>
  <si>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</si>
  <si>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</si>
  <si>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</si>
  <si>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</si>
  <si>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</si>
  <si>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</si>
  <si>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</si>
  <si>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</si>
  <si>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</si>
  <si>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</si>
  <si>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</si>
  <si>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</si>
  <si>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</si>
  <si>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</si>
  <si>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</si>
  <si>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</si>
  <si>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</si>
  <si>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</si>
  <si>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</si>
  <si>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</si>
  <si>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</si>
  <si>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</si>
  <si>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</si>
  <si>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</si>
  <si>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</si>
  <si>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</si>
  <si>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</si>
  <si>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</si>
  <si>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</si>
  <si>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</si>
  <si>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</si>
  <si>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</si>
  <si>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</si>
  <si>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</si>
  <si>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</si>
  <si>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</si>
  <si>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</si>
  <si>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</si>
  <si>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</si>
  <si>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</si>
  <si>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</si>
  <si>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</si>
  <si>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</si>
  <si>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</si>
  <si>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</si>
  <si>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</si>
  <si>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</si>
  <si>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</si>
  <si>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</si>
  <si>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</si>
  <si>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</si>
  <si>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</si>
  <si>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</si>
  <si>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</si>
  <si>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</si>
  <si>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</si>
  <si>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</si>
  <si>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</si>
  <si>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</si>
  <si>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</si>
  <si>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</si>
  <si>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</si>
  <si>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</si>
  <si>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</si>
  <si>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</si>
  <si>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</si>
  <si>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</si>
  <si>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</si>
  <si>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</si>
  <si>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</si>
  <si>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</si>
  <si>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</si>
  <si>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</si>
  <si>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</si>
  <si>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</si>
  <si>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</si>
  <si>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</si>
  <si>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</si>
  <si>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</si>
  <si>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</si>
  <si>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</si>
  <si>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</si>
  <si>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</si>
  <si>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</si>
  <si>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</si>
  <si>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</si>
  <si>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</si>
  <si>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</si>
  <si>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</si>
  <si>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</si>
  <si>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</si>
  <si>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</si>
  <si>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</si>
  <si>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</si>
  <si>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</si>
  <si>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</si>
  <si>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</si>
  <si>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</si>
  <si>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</si>
  <si>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</si>
  <si>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</si>
  <si>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</si>
  <si>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</si>
  <si>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</si>
  <si>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</si>
  <si>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</si>
  <si>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</si>
  <si>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</si>
  <si>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</si>
  <si>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</si>
  <si>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</si>
  <si>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</si>
  <si>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</si>
  <si>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</si>
  <si>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</si>
  <si>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</si>
  <si>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</si>
  <si>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</si>
  <si>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</si>
  <si>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</si>
  <si>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</si>
  <si>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</si>
  <si>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</si>
  <si>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</si>
  <si>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</si>
  <si>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</si>
  <si>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</si>
  <si>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</si>
  <si>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</si>
  <si>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</si>
  <si>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</si>
  <si>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</si>
  <si>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</si>
  <si>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</si>
  <si>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</si>
  <si>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</si>
  <si>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</si>
  <si>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</si>
  <si>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</si>
  <si>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</si>
  <si>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</si>
  <si>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</si>
  <si>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</si>
  <si>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</si>
  <si>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</si>
  <si>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</si>
  <si>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</si>
  <si>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</si>
  <si>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</si>
  <si>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</si>
  <si>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</si>
  <si>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</si>
  <si>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</si>
  <si>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</si>
  <si>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</si>
  <si>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</si>
  <si>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</si>
  <si>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</si>
  <si>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</si>
  <si>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</si>
  <si>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</si>
  <si>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</si>
  <si>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</si>
  <si>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</si>
  <si>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</si>
  <si>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</si>
  <si>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</si>
  <si>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</si>
  <si>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</si>
  <si>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</si>
  <si>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</si>
  <si>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</si>
  <si>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</si>
  <si>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</si>
  <si>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</si>
  <si>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</si>
  <si>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</si>
  <si>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</si>
  <si>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</si>
  <si>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</si>
  <si>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</si>
  <si>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</si>
  <si>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</si>
  <si>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</si>
  <si>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</si>
  <si>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</si>
  <si>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</si>
  <si>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</si>
  <si>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</si>
  <si>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</si>
  <si>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</si>
  <si>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</si>
  <si>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</si>
  <si>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</si>
  <si>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</si>
  <si>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</si>
  <si>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</si>
  <si>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</si>
  <si>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</si>
  <si>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</si>
  <si>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</si>
  <si>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</si>
  <si>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</si>
  <si>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</si>
  <si>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</si>
  <si>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</si>
  <si>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</si>
  <si>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</si>
  <si>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</si>
  <si>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</si>
  <si>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</si>
  <si>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</si>
  <si>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</si>
  <si>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</si>
  <si>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</si>
  <si>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</si>
  <si>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</si>
  <si>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</si>
  <si>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</si>
  <si>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北京达世行汽车销售有限公司</t>
    <phoneticPr fontId="6" type="noConversion"/>
  </si>
  <si>
    <t>工行地安门支行</t>
    <phoneticPr fontId="6" type="noConversion"/>
  </si>
  <si>
    <t>抵押</t>
  </si>
  <si>
    <t>房地产抵押价值</t>
  </si>
  <si>
    <t>北京市</t>
  </si>
  <si>
    <r>
      <rPr>
        <sz val="12"/>
        <color theme="9" tint="-0.249977111117893"/>
        <rFont val="宋体"/>
        <family val="3"/>
        <charset val="134"/>
      </rPr>
      <t>朝阳区东三环南路</t>
    </r>
    <r>
      <rPr>
        <sz val="12"/>
        <color theme="9" tint="-0.249977111117893"/>
        <rFont val="Arial"/>
        <family val="2"/>
      </rPr>
      <t>76</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</si>
  <si>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</si>
  <si>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</si>
  <si>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</si>
  <si>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24.5</t>
    </r>
    <r>
      <rPr>
        <sz val="12"/>
        <color theme="9" tint="-0.249977111117893"/>
        <rFont val="宋体"/>
        <family val="3"/>
        <charset val="134"/>
      </rPr>
      <t>年</t>
    </r>
    <phoneticPr fontId="6" type="noConversion"/>
  </si>
  <si>
    <t>是</t>
  </si>
  <si>
    <t>商业项目</t>
  </si>
  <si>
    <t>原件</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</si>
  <si>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</si>
  <si>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</si>
  <si>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</si>
  <si>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</si>
  <si>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</si>
  <si>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</si>
  <si>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</si>
  <si>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</si>
  <si>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</si>
  <si>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</si>
  <si>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</si>
  <si>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成新度</t>
  </si>
  <si>
    <t>地下</t>
  </si>
  <si>
    <t>周边有弘钰博古玩城、北京五环大酒店、十里河文化园等商业项目，商业繁华度较好。</t>
    <phoneticPr fontId="25" type="noConversion"/>
  </si>
  <si>
    <t>周边有28、53、621、638路等多条公交线路及地铁10、14号线经过，交通便捷度较好。</t>
    <phoneticPr fontId="41" type="noConversion"/>
  </si>
  <si>
    <t>周边有汉华购物中心、晓慧便民超市、北京中山医院等，公共服务配套设施齐备度较好。</t>
    <phoneticPr fontId="41" type="noConversion"/>
  </si>
  <si>
    <t>估价对象所在区域基础设施水平七通</t>
    <phoneticPr fontId="25" type="noConversion"/>
  </si>
  <si>
    <t>周边2公里内有龙潭湖、北京工业大学等，周边无大型污染源，综合考虑自然及人文环境较好。</t>
    <phoneticPr fontId="41"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</si>
  <si>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东三环南路</t>
    </r>
    <phoneticPr fontId="25" type="noConversion"/>
  </si>
  <si>
    <t>双面临街</t>
  </si>
  <si>
    <t>较一致</t>
    <phoneticPr fontId="25" type="noConversion"/>
  </si>
  <si>
    <t>售价</t>
  </si>
  <si>
    <t>商业</t>
    <phoneticPr fontId="31" type="noConversion"/>
  </si>
  <si>
    <t>正常</t>
  </si>
  <si>
    <t>20-30（含）</t>
  </si>
  <si>
    <t>30-40（含）</t>
  </si>
  <si>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</si>
  <si>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</si>
  <si>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</si>
  <si>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</si>
  <si>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</si>
  <si>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</si>
  <si>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</si>
  <si>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</si>
  <si>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</si>
  <si>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</si>
  <si>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</si>
  <si>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</si>
  <si>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</si>
  <si>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</si>
  <si>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</si>
  <si>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</si>
  <si>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</si>
  <si>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</si>
  <si>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</si>
  <si>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</si>
  <si>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</si>
  <si>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</si>
  <si>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</si>
  <si>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</si>
  <si>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</si>
  <si>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</si>
  <si>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</si>
  <si>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</si>
  <si>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</si>
  <si>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</si>
  <si>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较适宜</t>
  </si>
  <si>
    <t>较适宜</t>
    <phoneticPr fontId="31" type="noConversion"/>
  </si>
  <si>
    <t>首开璞缇公馆</t>
    <phoneticPr fontId="3" type="noConversion"/>
  </si>
  <si>
    <t>山水文园</t>
    <phoneticPr fontId="3" type="noConversion"/>
  </si>
  <si>
    <t>美景东方</t>
    <phoneticPr fontId="3" type="noConversion"/>
  </si>
  <si>
    <t>租金</t>
  </si>
  <si>
    <t>弘善家园</t>
    <phoneticPr fontId="3" type="noConversion"/>
  </si>
  <si>
    <t>武胜路商铺</t>
    <phoneticPr fontId="3" type="noConversion"/>
  </si>
  <si>
    <t>东三环商铺</t>
    <phoneticPr fontId="3" type="noConversion"/>
  </si>
  <si>
    <t>不可餐饮</t>
  </si>
  <si>
    <t>可餐饮</t>
  </si>
  <si>
    <t>单面临街</t>
  </si>
  <si>
    <t>较好</t>
  </si>
  <si>
    <t>较好</t>
    <phoneticPr fontId="143" type="noConversion"/>
  </si>
  <si>
    <t>好</t>
  </si>
  <si>
    <t>好</t>
    <phoneticPr fontId="143" type="noConversion"/>
  </si>
  <si>
    <t>较大</t>
  </si>
  <si>
    <t>大</t>
  </si>
  <si>
    <t>1层</t>
  </si>
  <si>
    <t>住宅底商</t>
  </si>
  <si>
    <t>商业街商铺</t>
  </si>
  <si>
    <t>独栋商铺</t>
  </si>
  <si>
    <t>独栋商铺</t>
    <phoneticPr fontId="3" type="noConversion"/>
  </si>
  <si>
    <t>钢混</t>
  </si>
  <si>
    <t>普装</t>
  </si>
  <si>
    <t>六通</t>
    <phoneticPr fontId="143" type="noConversion"/>
  </si>
  <si>
    <t>五通</t>
  </si>
  <si>
    <t>五通</t>
    <phoneticPr fontId="143" type="noConversion"/>
  </si>
  <si>
    <t>七通</t>
  </si>
  <si>
    <t>标准</t>
  </si>
  <si>
    <t>2层</t>
  </si>
  <si>
    <t>3层</t>
  </si>
  <si>
    <t>地下1层</t>
  </si>
  <si>
    <t>分摊土地面积</t>
    <phoneticPr fontId="143" type="noConversion"/>
  </si>
  <si>
    <t>建筑面积</t>
    <phoneticPr fontId="143" type="noConversion"/>
  </si>
  <si>
    <t>楼层</t>
    <phoneticPr fontId="143" type="noConversion"/>
  </si>
  <si>
    <t>1层租金</t>
    <phoneticPr fontId="143" type="noConversion"/>
  </si>
  <si>
    <t>楼层系数</t>
    <phoneticPr fontId="143" type="noConversion"/>
  </si>
  <si>
    <t>单价</t>
    <phoneticPr fontId="143" type="noConversion"/>
  </si>
  <si>
    <t>平均值</t>
    <phoneticPr fontId="143" type="noConversion"/>
  </si>
  <si>
    <t>合计</t>
    <phoneticPr fontId="143" type="noConversion"/>
  </si>
  <si>
    <t>商业租金修正表</t>
    <phoneticPr fontId="143" type="noConversion"/>
  </si>
  <si>
    <t>押一</t>
  </si>
  <si>
    <t>非生产用房</t>
  </si>
  <si>
    <t>按租金收入计税</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</si>
  <si>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</si>
  <si>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</si>
  <si>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</si>
  <si>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</si>
  <si>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</si>
  <si>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</si>
  <si>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</si>
  <si>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</si>
  <si>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</si>
  <si>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</si>
  <si>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</si>
  <si>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</si>
  <si>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</si>
  <si>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</si>
  <si>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</si>
  <si>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</si>
  <si>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</si>
  <si>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</si>
  <si>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</si>
  <si>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</si>
  <si>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</si>
  <si>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</si>
  <si>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</si>
  <si>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</si>
  <si>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t>
    <phoneticPr fontId="143" type="noConversion"/>
  </si>
  <si>
    <t>商业已出租</t>
  </si>
  <si>
    <t>收益法已出租</t>
  </si>
  <si>
    <t>收益法已出租</t>
    <phoneticPr fontId="16" type="noConversion"/>
  </si>
  <si>
    <t>收益法未出租</t>
  </si>
  <si>
    <t>收益法未出租</t>
    <phoneticPr fontId="16" type="noConversion"/>
  </si>
  <si>
    <t>典型户型修正</t>
    <phoneticPr fontId="16" type="noConversion"/>
  </si>
  <si>
    <t>收益比率</t>
  </si>
  <si>
    <t>情况4</t>
  </si>
  <si>
    <t>转让取得</t>
  </si>
  <si>
    <t>2016年5月1日前购买</t>
  </si>
  <si>
    <t>购房发票</t>
  </si>
  <si>
    <t>独栋商业</t>
  </si>
  <si>
    <t>简装</t>
  </si>
  <si>
    <t>好</t>
    <phoneticPr fontId="143" type="noConversion"/>
  </si>
  <si>
    <t>商业用房</t>
  </si>
  <si>
    <t>商业用房</t>
    <phoneticPr fontId="7" type="noConversion"/>
  </si>
  <si>
    <t>六通</t>
    <phoneticPr fontId="31" type="noConversion"/>
  </si>
  <si>
    <t>五通</t>
    <phoneticPr fontId="31" type="noConversion"/>
  </si>
  <si>
    <t>典型户型修正</t>
  </si>
  <si>
    <t>朝阳区山水文园中园</t>
    <phoneticPr fontId="3" type="noConversion"/>
  </si>
  <si>
    <t>朝阳区松榆南路38号</t>
    <phoneticPr fontId="3" type="noConversion"/>
  </si>
  <si>
    <t>丰台区方庄东路与三环路交叉口</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</si>
</sst>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23" xfId="0" applyFont="1" applyBorder="1" applyAlignment="1">
      <alignment horizontal="center" vertical="center"/>
    </xf>
    <xf numFmtId="0" fontId="0" fillId="0" borderId="23" xfId="0" applyBorder="1" applyAlignment="1">
      <alignment horizontal="center" vertical="center"/>
    </xf>
    <xf numFmtId="0" fontId="99" fillId="0" borderId="25" xfId="0" applyFont="1" applyBorder="1" applyAlignment="1">
      <alignment horizontal="center" vertical="center"/>
    </xf>
    <xf numFmtId="0" fontId="0" fillId="0" borderId="32" xfId="0"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192" fillId="0" borderId="1" xfId="0" applyFont="1" applyFill="1" applyBorder="1" applyAlignment="1" applyProtection="1">
      <alignment horizontal="center" vertical="center"/>
      <protection locked="0"/>
    </xf>
    <xf numFmtId="0" fontId="99" fillId="0" borderId="1" xfId="0" applyFont="1" applyFill="1" applyBorder="1" applyAlignment="1">
      <alignment horizontal="center" vertical="center"/>
    </xf>
    <xf numFmtId="0" fontId="99" fillId="0" borderId="24" xfId="0" applyFont="1" applyFill="1" applyBorder="1" applyAlignment="1">
      <alignment horizontal="center" vertical="center"/>
    </xf>
    <xf numFmtId="0" fontId="0" fillId="0" borderId="1" xfId="0" applyFill="1" applyBorder="1" applyAlignment="1">
      <alignment horizontal="center" vertical="center"/>
    </xf>
    <xf numFmtId="0" fontId="0" fillId="0" borderId="24" xfId="0" applyFill="1" applyBorder="1" applyAlignment="1">
      <alignment horizontal="center" vertical="center"/>
    </xf>
    <xf numFmtId="0" fontId="50" fillId="0" borderId="3" xfId="0" applyFont="1" applyFill="1" applyBorder="1" applyProtection="1">
      <alignment vertical="center"/>
      <protection locked="0"/>
    </xf>
    <xf numFmtId="0" fontId="47" fillId="17" borderId="5" xfId="0" applyFont="1" applyFill="1" applyBorder="1" applyAlignment="1" applyProtection="1">
      <alignment horizontal="center" vertical="center" wrapText="1"/>
    </xf>
    <xf numFmtId="0" fontId="56" fillId="17" borderId="32" xfId="0" applyNumberFormat="1" applyFont="1" applyFill="1" applyBorder="1" applyAlignment="1" applyProtection="1">
      <alignment horizontal="center" vertical="center" wrapText="1"/>
      <protection locked="0"/>
    </xf>
    <xf numFmtId="0" fontId="0" fillId="17" borderId="1" xfId="0" applyFill="1" applyBorder="1" applyAlignment="1">
      <alignment horizontal="center" vertical="center"/>
    </xf>
    <xf numFmtId="0" fontId="100" fillId="17" borderId="49" xfId="0"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81" fontId="47" fillId="0" borderId="5" xfId="0" applyNumberFormat="1" applyFont="1" applyFill="1" applyBorder="1" applyAlignment="1" applyProtection="1">
      <alignment vertical="center"/>
      <protection locked="0"/>
    </xf>
    <xf numFmtId="49" fontId="54"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00" fillId="9" borderId="32" xfId="0" applyFont="1" applyFill="1" applyBorder="1" applyAlignment="1">
      <alignment horizontal="center" vertical="center"/>
    </xf>
    <xf numFmtId="0" fontId="99" fillId="5" borderId="6" xfId="0" applyFont="1"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647700</xdr:colOff>
      <xdr:row>17</xdr:row>
      <xdr:rowOff>3939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825" cy="2918589"/>
        </a:xfrm>
        <a:prstGeom prst="rect">
          <a:avLst/>
        </a:prstGeom>
      </xdr:spPr>
    </xdr:pic>
    <xdr:clientData/>
  </xdr:twoCellAnchor>
  <xdr:twoCellAnchor editAs="oneCell">
    <xdr:from>
      <xdr:col>0</xdr:col>
      <xdr:colOff>0</xdr:colOff>
      <xdr:row>17</xdr:row>
      <xdr:rowOff>1</xdr:rowOff>
    </xdr:from>
    <xdr:to>
      <xdr:col>6</xdr:col>
      <xdr:colOff>609600</xdr:colOff>
      <xdr:row>34</xdr:row>
      <xdr:rowOff>25097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1"/>
          <a:ext cx="5038725" cy="2939746"/>
        </a:xfrm>
        <a:prstGeom prst="rect">
          <a:avLst/>
        </a:prstGeom>
      </xdr:spPr>
    </xdr:pic>
    <xdr:clientData/>
  </xdr:twoCellAnchor>
  <xdr:twoCellAnchor editAs="oneCell">
    <xdr:from>
      <xdr:col>0</xdr:col>
      <xdr:colOff>0</xdr:colOff>
      <xdr:row>34</xdr:row>
      <xdr:rowOff>1</xdr:rowOff>
    </xdr:from>
    <xdr:to>
      <xdr:col>6</xdr:col>
      <xdr:colOff>638175</xdr:colOff>
      <xdr:row>51</xdr:row>
      <xdr:rowOff>4685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1"/>
          <a:ext cx="5067300" cy="2919334"/>
        </a:xfrm>
        <a:prstGeom prst="rect">
          <a:avLst/>
        </a:prstGeom>
      </xdr:spPr>
    </xdr:pic>
    <xdr:clientData/>
  </xdr:twoCellAnchor>
  <xdr:twoCellAnchor editAs="oneCell">
    <xdr:from>
      <xdr:col>8</xdr:col>
      <xdr:colOff>76200</xdr:colOff>
      <xdr:row>0</xdr:row>
      <xdr:rowOff>0</xdr:rowOff>
    </xdr:from>
    <xdr:to>
      <xdr:col>15</xdr:col>
      <xdr:colOff>84672</xdr:colOff>
      <xdr:row>19</xdr:row>
      <xdr:rowOff>147969</xdr:rowOff>
    </xdr:to>
    <xdr:pic>
      <xdr:nvPicPr>
        <xdr:cNvPr id="6" name="图片 5"/>
        <xdr:cNvPicPr>
          <a:picLocks noChangeAspect="1"/>
        </xdr:cNvPicPr>
      </xdr:nvPicPr>
      <xdr:blipFill>
        <a:blip xmlns:r="http://schemas.openxmlformats.org/officeDocument/2006/relationships" r:embed="rId4"/>
        <a:stretch>
          <a:fillRect/>
        </a:stretch>
      </xdr:blipFill>
      <xdr:spPr>
        <a:xfrm>
          <a:off x="5562600" y="0"/>
          <a:ext cx="4809072" cy="3405519"/>
        </a:xfrm>
        <a:prstGeom prst="rect">
          <a:avLst/>
        </a:prstGeom>
      </xdr:spPr>
    </xdr:pic>
    <xdr:clientData/>
  </xdr:twoCellAnchor>
  <xdr:twoCellAnchor editAs="oneCell">
    <xdr:from>
      <xdr:col>8</xdr:col>
      <xdr:colOff>38100</xdr:colOff>
      <xdr:row>19</xdr:row>
      <xdr:rowOff>86159</xdr:rowOff>
    </xdr:from>
    <xdr:to>
      <xdr:col>15</xdr:col>
      <xdr:colOff>9525</xdr:colOff>
      <xdr:row>45</xdr:row>
      <xdr:rowOff>97306</xdr:rowOff>
    </xdr:to>
    <xdr:pic>
      <xdr:nvPicPr>
        <xdr:cNvPr id="8" name="图片 7"/>
        <xdr:cNvPicPr>
          <a:picLocks noChangeAspect="1"/>
        </xdr:cNvPicPr>
      </xdr:nvPicPr>
      <xdr:blipFill>
        <a:blip xmlns:r="http://schemas.openxmlformats.org/officeDocument/2006/relationships" r:embed="rId5"/>
        <a:stretch>
          <a:fillRect/>
        </a:stretch>
      </xdr:blipFill>
      <xdr:spPr>
        <a:xfrm>
          <a:off x="5524500" y="3343709"/>
          <a:ext cx="4772025" cy="4468847"/>
        </a:xfrm>
        <a:prstGeom prst="rect">
          <a:avLst/>
        </a:prstGeom>
      </xdr:spPr>
    </xdr:pic>
    <xdr:clientData/>
  </xdr:twoCellAnchor>
  <xdr:twoCellAnchor editAs="oneCell">
    <xdr:from>
      <xdr:col>7</xdr:col>
      <xdr:colOff>647700</xdr:colOff>
      <xdr:row>48</xdr:row>
      <xdr:rowOff>9524</xdr:rowOff>
    </xdr:from>
    <xdr:to>
      <xdr:col>15</xdr:col>
      <xdr:colOff>23440</xdr:colOff>
      <xdr:row>74</xdr:row>
      <xdr:rowOff>142007</xdr:rowOff>
    </xdr:to>
    <xdr:pic>
      <xdr:nvPicPr>
        <xdr:cNvPr id="9" name="图片 8"/>
        <xdr:cNvPicPr>
          <a:picLocks noChangeAspect="1"/>
        </xdr:cNvPicPr>
      </xdr:nvPicPr>
      <xdr:blipFill>
        <a:blip xmlns:r="http://schemas.openxmlformats.org/officeDocument/2006/relationships" r:embed="rId6"/>
        <a:stretch>
          <a:fillRect/>
        </a:stretch>
      </xdr:blipFill>
      <xdr:spPr>
        <a:xfrm>
          <a:off x="5448300" y="8239124"/>
          <a:ext cx="4862140" cy="4609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2" sqref="D3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北京市朝阳区东三环南路76号房地产抵押价值预评估</v>
      </c>
    </row>
    <row r="3" spans="1:2" s="1594" customFormat="1">
      <c r="A3" s="1592" t="s">
        <v>1221</v>
      </c>
      <c r="B3" s="1593" t="str">
        <f>'预评函-封皮'!B40</f>
        <v>北京达世行汽车销售有限公司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受贵公司委托，我公司对北京市朝阳区东三环南路76号房地产抵押价值进行了预评估。</v>
      </c>
    </row>
    <row r="7" spans="1:2" s="1594" customFormat="1">
      <c r="A7" s="1592" t="s">
        <v>1264</v>
      </c>
      <c r="B7" s="1593" t="str">
        <f>'预评函-1'!A7</f>
        <v>估价对象为北京市朝阳区东三环南路76号房地产，为所有。根据《国有土地使用证》[]，估价对象（分摊）出让国有建设用地使用权面积为1121.78平方米。根据《房屋所有权证》[]、《测绘报告》[]，估价对象建筑面积为2496.59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为估价委托人在向工行地安门支行办理贷款手续过程中，确定房地产抵押贷款额度提供参考依据而评估房地产抵押价值。</v>
      </c>
    </row>
    <row r="12" spans="1:2" s="1594" customFormat="1">
      <c r="A12" s="1592" t="s">
        <v>1226</v>
      </c>
      <c r="B12" s="1593" t="str">
        <f>'预评函-1'!A15</f>
        <v>2018年5月31日（评估专业人员实地查勘之日）</v>
      </c>
    </row>
    <row r="13" spans="1:2" s="1594" customFormat="1">
      <c r="A13" s="1592" t="s">
        <v>1227</v>
      </c>
      <c r="B13" s="1593" t="str">
        <f>'预评函-1'!A18</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4" spans="1:2" s="1594" customFormat="1">
      <c r="A14" s="1592" t="s">
        <v>1228</v>
      </c>
      <c r="B14" s="1593" t="str">
        <f>'预评函-1'!A19</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6406</v>
      </c>
    </row>
    <row r="21" spans="1:2" s="1594" customFormat="1">
      <c r="A21" s="1592" t="s">
        <v>1235</v>
      </c>
      <c r="B21" s="1593">
        <f ca="1">'预评函-2'!D7</f>
        <v>25659</v>
      </c>
    </row>
    <row r="22" spans="1:2" s="1594" customFormat="1">
      <c r="A22" s="1592" t="s">
        <v>1236</v>
      </c>
      <c r="B22" s="1593" t="str">
        <f ca="1">'预评函-2'!D6</f>
        <v>陆仟肆佰零陆万元整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6406</v>
      </c>
    </row>
    <row r="31" spans="1:2" s="1594" customFormat="1">
      <c r="A31" s="1592" t="s">
        <v>1274</v>
      </c>
      <c r="B31" s="1593">
        <f ca="1">'预评函-2'!D15</f>
        <v>25659</v>
      </c>
    </row>
    <row r="32" spans="1:2" s="1594" customFormat="1">
      <c r="A32" s="1592" t="s">
        <v>1241</v>
      </c>
      <c r="B32" s="1593" t="str">
        <f ca="1">'预评函-2'!D14</f>
        <v>陆仟肆佰零陆万元整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北京市朝阳区东三环南路76号房地产</v>
      </c>
    </row>
    <row r="42" spans="1:2" s="1594" customFormat="1">
      <c r="A42" s="1592" t="s">
        <v>1288</v>
      </c>
      <c r="B42" s="1593" t="str">
        <f>'预评函-3'!B2</f>
        <v>建筑面积</v>
      </c>
    </row>
    <row r="43" spans="1:2" s="1594" customFormat="1">
      <c r="A43" s="1592" t="s">
        <v>1289</v>
      </c>
      <c r="B43" s="1593">
        <f>'预评函-3'!B4</f>
        <v>2496.59</v>
      </c>
    </row>
    <row r="44" spans="1:2" s="1594" customFormat="1">
      <c r="A44" s="1592" t="s">
        <v>1273</v>
      </c>
      <c r="B44" s="1593" t="str">
        <f>'预评函-3'!C2</f>
        <v>(分摊)土地面积</v>
      </c>
    </row>
    <row r="45" spans="1:2" s="1594" customFormat="1">
      <c r="A45" s="1592" t="s">
        <v>1245</v>
      </c>
      <c r="B45" s="1593">
        <f>'预评函-3'!C4</f>
        <v>1121.78</v>
      </c>
    </row>
    <row r="46" spans="1:2" s="1594" customFormat="1">
      <c r="A46" s="1592" t="s">
        <v>1271</v>
      </c>
      <c r="B46" s="1593" t="str">
        <f>'预评函-3'!D2</f>
        <v>出让国有建设用地使用权价值</v>
      </c>
    </row>
    <row r="47" spans="1:2" s="1594" customFormat="1">
      <c r="A47" s="1592" t="s">
        <v>1246</v>
      </c>
      <c r="B47" s="1593">
        <f ca="1">'预评函-3'!D4</f>
        <v>4612</v>
      </c>
    </row>
    <row r="48" spans="1:2" s="1594" customFormat="1">
      <c r="A48" s="1592" t="s">
        <v>1247</v>
      </c>
      <c r="B48" s="1593">
        <f ca="1">'预评函-3'!E4</f>
        <v>18473</v>
      </c>
    </row>
    <row r="49" spans="1:2" s="1594" customFormat="1">
      <c r="A49" s="1592" t="s">
        <v>1248</v>
      </c>
      <c r="B49" s="1593" t="str">
        <f ca="1">'预评函-3'!D5</f>
        <v>肆仟陆佰壹拾贰万元整</v>
      </c>
    </row>
    <row r="50" spans="1:2" s="1594" customFormat="1">
      <c r="A50" s="1592" t="s">
        <v>1272</v>
      </c>
      <c r="B50" s="1593" t="str">
        <f>'预评函-3'!F2</f>
        <v>在建建筑物价值</v>
      </c>
    </row>
    <row r="51" spans="1:2" s="1594" customFormat="1">
      <c r="A51" s="1592" t="s">
        <v>1249</v>
      </c>
      <c r="B51" s="1593">
        <f ca="1">'预评函-3'!F4</f>
        <v>1794</v>
      </c>
    </row>
    <row r="52" spans="1:2" s="1594" customFormat="1">
      <c r="A52" s="1592" t="s">
        <v>1250</v>
      </c>
      <c r="B52" s="1593">
        <f ca="1">'预评函-3'!G4</f>
        <v>7186</v>
      </c>
    </row>
    <row r="53" spans="1:2" s="1594" customFormat="1">
      <c r="A53" s="1592" t="s">
        <v>1278</v>
      </c>
      <c r="B53" s="1593" t="str">
        <f ca="1">'预评函-3'!F5</f>
        <v>壹仟柒佰玖拾肆万元整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8" t="s">
        <v>3184</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3186</v>
      </c>
      <c r="C17" s="2016"/>
    </row>
    <row r="18" spans="1:3">
      <c r="A18" s="2015" t="s">
        <v>1765</v>
      </c>
      <c r="B18" s="2015" t="s">
        <v>3187</v>
      </c>
      <c r="C18" s="2016"/>
    </row>
    <row r="19" spans="1:3">
      <c r="A19" s="2015" t="s">
        <v>1766</v>
      </c>
      <c r="B19" s="2015" t="s">
        <v>757</v>
      </c>
      <c r="C19" s="2016"/>
    </row>
    <row r="20" spans="1:3">
      <c r="A20" s="2015" t="s">
        <v>1767</v>
      </c>
      <c r="B20" s="2015" t="s">
        <v>757</v>
      </c>
      <c r="C20" s="2016"/>
    </row>
    <row r="21" spans="1:3">
      <c r="A21" s="2015" t="s">
        <v>1768</v>
      </c>
      <c r="B21" s="2015" t="s">
        <v>757</v>
      </c>
      <c r="C21" s="2016"/>
    </row>
    <row r="22" spans="1:3">
      <c r="A22" s="2015" t="s">
        <v>1769</v>
      </c>
      <c r="B22" s="2015" t="s">
        <v>757</v>
      </c>
      <c r="C22" s="2016"/>
    </row>
    <row r="23" spans="1:3">
      <c r="A23" s="2015" t="s">
        <v>1770</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为估价委托人在向工行地安门支行办理贷款手续过程中，确定房地产抵押贷款额度提供参考依据而评估房地产抵押价值。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世行汽车销售有限公司拟使用北京市朝阳区东三环南路76号房地产作为抵押担保物，向工行地安门支行办理贷款手续。工行地安门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9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2"/>
      <c r="B54" s="2023" t="s">
        <v>864</v>
      </c>
      <c r="C54" s="2020" t="s">
        <v>1281</v>
      </c>
    </row>
    <row r="55" spans="1:4">
      <c r="A55" s="3092"/>
      <c r="B55" s="2023" t="s">
        <v>865</v>
      </c>
      <c r="C55" s="2020" t="s">
        <v>1282</v>
      </c>
    </row>
    <row r="56" spans="1:4">
      <c r="A56" s="3092"/>
      <c r="B56" s="2023" t="s">
        <v>866</v>
      </c>
      <c r="C56" s="2020" t="s">
        <v>1286</v>
      </c>
    </row>
    <row r="57" spans="1:4">
      <c r="A57" s="309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1774</v>
      </c>
      <c r="B1" s="3093" t="str">
        <f>IF(B10="北京市","北京市",C10)&amp;F10&amp;IF(结果表!G1="在建","出让国有建设用地使用权及在建建筑物",IF(结果表!G1="土地","出让国有建设用地使用权",))&amp;B9&amp;"预评估"</f>
        <v>北京市朝阳区东三环南路76号房地产抵押价值预评估</v>
      </c>
      <c r="C1" s="3094"/>
      <c r="D1" s="3094"/>
      <c r="E1" s="3094"/>
      <c r="F1" s="3094"/>
      <c r="G1" s="3094"/>
      <c r="H1" s="3094"/>
      <c r="I1" s="309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北京市朝阳区东三环南路76号房地产抵押价值</v>
      </c>
    </row>
    <row r="2" spans="1:19" ht="18" customHeight="1">
      <c r="A2" s="2027" t="s">
        <v>1775</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北京市朝阳区东三环南路76号房地产</v>
      </c>
    </row>
    <row r="3" spans="1:19" ht="18" customHeight="1">
      <c r="A3" s="2036" t="s">
        <v>1776</v>
      </c>
      <c r="B3" s="2037">
        <v>43251</v>
      </c>
      <c r="C3" s="2038" t="s">
        <v>1777</v>
      </c>
      <c r="D3" s="2037">
        <v>43251</v>
      </c>
      <c r="E3" s="2027"/>
      <c r="F3" s="2027"/>
      <c r="G3" s="2027"/>
      <c r="H3" s="2027"/>
      <c r="I3" s="2027"/>
      <c r="J3" s="2027"/>
      <c r="K3" s="2028"/>
      <c r="L3" s="2029"/>
      <c r="M3" s="2029"/>
      <c r="N3" s="2030"/>
      <c r="O3" s="2031"/>
      <c r="P3" s="2030"/>
      <c r="Q3" s="2030"/>
      <c r="R3" s="2030"/>
      <c r="S3" s="2032"/>
    </row>
    <row r="4" spans="1:19" ht="18" customHeight="1" thickBot="1">
      <c r="A4" s="2039" t="s">
        <v>1778</v>
      </c>
      <c r="B4" s="2040" t="s">
        <v>3041</v>
      </c>
      <c r="C4" s="1038">
        <f ca="1">SUMIF(注册房地产估价师,B4,估价师及机构信息!B3:B24)</f>
        <v>1120140022</v>
      </c>
      <c r="D4" s="2040" t="s">
        <v>3042</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1779</v>
      </c>
      <c r="B5" s="2962"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963"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1781</v>
      </c>
      <c r="B7" s="2052" t="str">
        <f>B5</f>
        <v>北京达世行汽车销售有限公司</v>
      </c>
      <c r="C7" s="2049"/>
      <c r="D7" s="2050"/>
      <c r="E7" s="2035"/>
      <c r="F7" s="2043"/>
      <c r="G7" s="2043"/>
      <c r="H7" s="2043"/>
      <c r="I7" s="2043"/>
      <c r="J7" s="2043"/>
      <c r="K7" s="2053"/>
      <c r="L7" s="2029"/>
      <c r="M7" s="2029"/>
      <c r="N7" s="2030"/>
      <c r="O7" s="2031"/>
      <c r="P7" s="2030"/>
      <c r="Q7" s="2030"/>
      <c r="R7" s="2030"/>
    </row>
    <row r="8" spans="1:19" ht="18" customHeight="1">
      <c r="A8" s="2048" t="s">
        <v>1782</v>
      </c>
      <c r="B8" s="2054" t="s">
        <v>3045</v>
      </c>
      <c r="C8" s="2055"/>
      <c r="D8" s="3096" t="s">
        <v>1783</v>
      </c>
      <c r="E8" s="2056" t="s">
        <v>3046</v>
      </c>
      <c r="F8" s="2057"/>
      <c r="G8" s="2027"/>
      <c r="H8" s="2027"/>
      <c r="I8" s="2027"/>
      <c r="J8" s="2043"/>
      <c r="K8" s="2044"/>
      <c r="L8" s="2029"/>
      <c r="M8" s="2029"/>
      <c r="N8" s="2030"/>
      <c r="O8" s="2031"/>
      <c r="P8" s="2030"/>
      <c r="Q8" s="2030"/>
      <c r="R8" s="2030"/>
    </row>
    <row r="9" spans="1:19" ht="18" customHeight="1" thickBot="1">
      <c r="A9" s="2041" t="s">
        <v>1784</v>
      </c>
      <c r="B9" s="2058" t="s">
        <v>3046</v>
      </c>
      <c r="C9" s="2059"/>
      <c r="D9" s="3097"/>
      <c r="E9" s="2058"/>
      <c r="F9" s="2060"/>
      <c r="G9" s="2061"/>
      <c r="H9" s="2061"/>
      <c r="I9" s="2061"/>
      <c r="J9" s="2043"/>
      <c r="K9" s="2053"/>
      <c r="L9" s="2029"/>
      <c r="M9" s="2029"/>
      <c r="N9" s="2030"/>
      <c r="O9" s="2031"/>
      <c r="P9" s="2030"/>
      <c r="Q9" s="2030"/>
      <c r="R9" s="2030"/>
    </row>
    <row r="10" spans="1:19" ht="18" customHeight="1" thickTop="1">
      <c r="A10" s="2062" t="s">
        <v>1785</v>
      </c>
      <c r="B10" s="2063" t="s">
        <v>3047</v>
      </c>
      <c r="C10" s="2064"/>
      <c r="D10" s="2047"/>
      <c r="E10" s="2065" t="s">
        <v>1786</v>
      </c>
      <c r="F10" s="2066" t="s">
        <v>3048</v>
      </c>
      <c r="G10" s="2067"/>
      <c r="H10" s="2068"/>
      <c r="I10" s="2047"/>
      <c r="J10" s="2043"/>
      <c r="K10" s="2053"/>
      <c r="L10" s="2029"/>
      <c r="M10" s="2029"/>
      <c r="N10" s="2030"/>
      <c r="O10" s="2031"/>
      <c r="P10" s="2030"/>
      <c r="Q10" s="2030"/>
      <c r="R10" s="2030"/>
    </row>
    <row r="11" spans="1:19" ht="18" customHeight="1">
      <c r="A11" s="2069" t="s">
        <v>1787</v>
      </c>
      <c r="B11" s="2070" t="s">
        <v>3049</v>
      </c>
      <c r="C11" s="2071"/>
      <c r="D11" s="2072"/>
      <c r="E11" s="2043"/>
      <c r="F11" s="2043"/>
      <c r="G11" s="2043"/>
      <c r="H11" s="2043"/>
      <c r="I11" s="2043"/>
      <c r="J11" s="2043"/>
      <c r="K11" s="2053"/>
      <c r="L11" s="2029"/>
      <c r="M11" s="2029"/>
      <c r="N11" s="2030"/>
      <c r="O11" s="2031"/>
      <c r="P11" s="2030"/>
      <c r="Q11" s="2030"/>
      <c r="R11" s="2030"/>
    </row>
    <row r="12" spans="1:19" ht="18" customHeight="1">
      <c r="A12" s="2073" t="s">
        <v>1788</v>
      </c>
      <c r="B12" s="2070" t="s">
        <v>3050</v>
      </c>
      <c r="C12" s="2074" t="s">
        <v>1789</v>
      </c>
      <c r="D12" s="2075" t="s">
        <v>1790</v>
      </c>
      <c r="E12" s="2075" t="s">
        <v>1791</v>
      </c>
      <c r="F12" s="2075" t="s">
        <v>1792</v>
      </c>
      <c r="G12" s="2075" t="s">
        <v>1793</v>
      </c>
      <c r="H12" s="2075" t="s">
        <v>1794</v>
      </c>
      <c r="I12" s="2075" t="s">
        <v>1795</v>
      </c>
      <c r="J12" s="2043"/>
      <c r="K12" s="2053"/>
      <c r="L12" s="2029"/>
      <c r="M12" s="2029"/>
      <c r="N12" s="2030"/>
      <c r="O12" s="2031"/>
      <c r="P12" s="2030"/>
      <c r="Q12" s="2030"/>
      <c r="R12" s="2030"/>
    </row>
    <row r="13" spans="1:19" ht="18" customHeight="1">
      <c r="A13" s="2076"/>
      <c r="B13" s="2077"/>
      <c r="C13" s="2078" t="s">
        <v>1796</v>
      </c>
      <c r="D13" s="2079"/>
      <c r="E13" s="2079">
        <v>52196</v>
      </c>
      <c r="F13" s="2079"/>
      <c r="G13" s="2079"/>
      <c r="H13" s="2079"/>
      <c r="I13" s="1048"/>
      <c r="J13" s="2043"/>
      <c r="K13" s="2053"/>
      <c r="L13" s="2029"/>
      <c r="M13" s="2029"/>
      <c r="N13" s="2030"/>
      <c r="O13" s="2031"/>
      <c r="P13" s="2030"/>
      <c r="Q13" s="2030"/>
      <c r="R13" s="2030"/>
    </row>
    <row r="14" spans="1:19" ht="18" customHeight="1">
      <c r="A14" s="2076"/>
      <c r="B14" s="2077"/>
      <c r="C14" s="2078" t="s">
        <v>1797</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1798</v>
      </c>
      <c r="D15" s="1050" t="str">
        <f>IF(B12="出让",IF(D13="","",ROUNDDOWN(MIN((D13-$D$3)/365,D14),2)),D14)</f>
        <v/>
      </c>
      <c r="E15" s="1050">
        <f>IF(B12="出让",IF(E13="","",ROUNDDOWN(MIN((E13-$D$3)/365,E14),2)),E14)</f>
        <v>24.5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1799</v>
      </c>
      <c r="B16" s="3103" t="s">
        <v>3051</v>
      </c>
      <c r="C16" s="3104"/>
      <c r="D16" s="3105"/>
      <c r="E16" s="2085" t="s">
        <v>1800</v>
      </c>
      <c r="F16" s="3106" t="s">
        <v>3052</v>
      </c>
      <c r="G16" s="3107"/>
      <c r="H16" s="3107"/>
      <c r="I16" s="3108"/>
      <c r="J16" s="2030"/>
      <c r="K16" s="2082"/>
      <c r="L16" s="2083"/>
      <c r="M16" s="2083"/>
      <c r="N16" s="2084"/>
      <c r="O16" s="2083"/>
      <c r="P16" s="2084"/>
      <c r="Q16" s="2030"/>
      <c r="R16" s="2030"/>
    </row>
    <row r="17" spans="1:22" ht="18" customHeight="1">
      <c r="A17" s="2086" t="s">
        <v>1801</v>
      </c>
      <c r="B17" s="2036" t="s">
        <v>1802</v>
      </c>
      <c r="C17" s="1055">
        <f>'数据-汇总表'!E3</f>
        <v>2496.59</v>
      </c>
      <c r="D17" s="2087" t="s">
        <v>1803</v>
      </c>
      <c r="E17" s="3109" t="s">
        <v>1804</v>
      </c>
      <c r="F17" s="3110"/>
      <c r="G17" s="3110"/>
      <c r="H17" s="3110"/>
      <c r="I17" s="3111"/>
      <c r="J17" s="2030"/>
      <c r="K17" s="2088"/>
      <c r="L17" s="2083"/>
      <c r="M17" s="2083"/>
      <c r="N17" s="2084"/>
      <c r="O17" s="2083"/>
      <c r="P17" s="2084"/>
      <c r="Q17" s="2030"/>
      <c r="R17" s="2030"/>
      <c r="S17" s="2030"/>
      <c r="T17" s="2030"/>
      <c r="U17" s="2030"/>
      <c r="V17" s="2030"/>
    </row>
    <row r="18" spans="1:22" ht="36" customHeight="1" thickBot="1">
      <c r="A18" s="2089" t="s">
        <v>70</v>
      </c>
      <c r="B18" s="2039" t="s">
        <v>1805</v>
      </c>
      <c r="C18" s="1445">
        <f>'数据-汇总表'!D3</f>
        <v>1121.78</v>
      </c>
      <c r="D18" s="2090" t="s">
        <v>1803</v>
      </c>
      <c r="E18" s="3112" t="s">
        <v>1806</v>
      </c>
      <c r="F18" s="3113"/>
      <c r="G18" s="3113"/>
      <c r="H18" s="3113"/>
      <c r="I18" s="3114"/>
      <c r="J18" s="2030"/>
      <c r="K18" s="2088"/>
      <c r="L18" s="2083"/>
      <c r="M18" s="2083"/>
      <c r="N18" s="2084"/>
      <c r="O18" s="2083"/>
      <c r="P18" s="2084"/>
      <c r="Q18" s="2030"/>
      <c r="R18" s="2030"/>
      <c r="S18" s="2030"/>
      <c r="T18" s="2030"/>
      <c r="U18" s="2030"/>
      <c r="V18" s="2030"/>
    </row>
    <row r="19" spans="1:22" ht="37.5" customHeight="1" thickTop="1" thickBot="1">
      <c r="A19" s="373" t="s">
        <v>1807</v>
      </c>
      <c r="B19" s="352" t="s">
        <v>1808</v>
      </c>
      <c r="C19" s="2091" t="s">
        <v>3053</v>
      </c>
      <c r="D19" s="2092" t="s">
        <v>1809</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1810</v>
      </c>
      <c r="B20" s="3099" t="s">
        <v>1811</v>
      </c>
      <c r="C20" s="3100"/>
      <c r="D20" s="3101" t="s">
        <v>1812</v>
      </c>
      <c r="E20" s="3102"/>
      <c r="F20" s="2097" t="s">
        <v>1813</v>
      </c>
      <c r="G20" s="2043"/>
      <c r="H20" s="2043"/>
      <c r="I20" s="2043"/>
      <c r="J20" s="2043"/>
      <c r="K20" s="3098" t="s">
        <v>1814</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4"/>
      <c r="O20" s="2083"/>
      <c r="P20" s="2084"/>
      <c r="Q20" s="2030"/>
      <c r="R20" s="2030"/>
      <c r="S20" s="2030"/>
      <c r="T20" s="2030"/>
      <c r="U20" s="2030"/>
      <c r="V20" s="2030"/>
    </row>
    <row r="21" spans="1:22" ht="24.75" customHeight="1">
      <c r="A21" s="2096"/>
      <c r="B21" s="2098" t="s">
        <v>1815</v>
      </c>
      <c r="C21" s="2099" t="s">
        <v>1816</v>
      </c>
      <c r="D21" s="2100" t="s">
        <v>1817</v>
      </c>
      <c r="E21" s="2101" t="s">
        <v>1816</v>
      </c>
      <c r="F21" s="2102"/>
      <c r="G21" s="2043"/>
      <c r="H21" s="2043"/>
      <c r="I21" s="2043"/>
      <c r="J21" s="2043"/>
      <c r="K21" s="309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1818</v>
      </c>
      <c r="C22" s="2099" t="s">
        <v>3055</v>
      </c>
      <c r="D22" s="2027"/>
      <c r="E22" s="2027"/>
      <c r="F22" s="2104"/>
      <c r="G22" s="2043"/>
      <c r="H22" s="2043"/>
      <c r="I22" s="2043"/>
      <c r="J22" s="2043"/>
      <c r="K22" s="309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1819</v>
      </c>
      <c r="B23" s="183" t="s">
        <v>1820</v>
      </c>
      <c r="C23" s="2106">
        <v>42639</v>
      </c>
      <c r="D23" s="2107" t="s">
        <v>1820</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1821</v>
      </c>
      <c r="C24" s="2111"/>
      <c r="D24" s="2105" t="s">
        <v>1821</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1822</v>
      </c>
      <c r="C25" s="2111"/>
      <c r="D25" s="2105" t="s">
        <v>1822</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1823</v>
      </c>
      <c r="C26" s="2115"/>
      <c r="D26" s="2116" t="s">
        <v>1824</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116" t="s">
        <v>1825</v>
      </c>
      <c r="B27" s="2062" t="s">
        <v>1826</v>
      </c>
      <c r="C27" s="2119" t="s">
        <v>3054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116"/>
      <c r="B28" s="2036" t="s">
        <v>1827</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116"/>
      <c r="B29" s="2036" t="s">
        <v>1828</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117"/>
      <c r="B30" s="2036" t="s">
        <v>1829</v>
      </c>
      <c r="C30" s="3118"/>
      <c r="D30" s="3119"/>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120" t="s">
        <v>1830</v>
      </c>
      <c r="B31" s="2126" t="s">
        <v>3056</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121"/>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121"/>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1831</v>
      </c>
      <c r="B34" s="2133" t="s">
        <v>3057</v>
      </c>
      <c r="C34" s="2133" t="s">
        <v>3058</v>
      </c>
      <c r="D34" s="2133" t="s">
        <v>3059</v>
      </c>
      <c r="E34" s="2133" t="s">
        <v>3060</v>
      </c>
      <c r="F34" s="2133" t="s">
        <v>3061</v>
      </c>
      <c r="G34" s="2133"/>
      <c r="H34" s="2133"/>
      <c r="I34" s="2043"/>
      <c r="J34" s="2043"/>
      <c r="K34" s="1796">
        <f>COUNTIF(B34:H34,"——")</f>
        <v>0</v>
      </c>
      <c r="L34" s="2074" t="s">
        <v>1832</v>
      </c>
      <c r="M34" s="2074" t="s">
        <v>1833</v>
      </c>
      <c r="N34" s="2074" t="s">
        <v>1834</v>
      </c>
      <c r="O34" s="2074" t="s">
        <v>1835</v>
      </c>
      <c r="P34" s="2074" t="s">
        <v>1836</v>
      </c>
      <c r="Q34" s="2074" t="s">
        <v>1837</v>
      </c>
      <c r="R34" s="2074" t="s">
        <v>1838</v>
      </c>
      <c r="S34" s="3115" t="s">
        <v>1839</v>
      </c>
      <c r="T34" s="2134" t="str">
        <f>NUMBERSTRING(7-K34,1)&amp;"通"</f>
        <v>七通</v>
      </c>
      <c r="U34" s="2030"/>
      <c r="V34" s="2030"/>
    </row>
    <row r="35" spans="1:22" ht="18" customHeight="1">
      <c r="A35" s="2135"/>
      <c r="B35" s="3122" t="s">
        <v>1840</v>
      </c>
      <c r="C35" s="3122"/>
      <c r="D35" s="3122"/>
      <c r="E35" s="3122"/>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15"/>
      <c r="T35" s="48" t="str">
        <f>IF(T34="一通",L35,IF(T34="二通",M35,IF(T34="三通",N35,IF(T34="四通",O35,IF(T34="五通",P35,IF(T34="六通",Q35,R35))))))</f>
        <v>通路、通电、通讯、通上水、通下水、、</v>
      </c>
      <c r="U35" s="2030"/>
      <c r="V35" s="2030"/>
    </row>
    <row r="36" spans="1:22" ht="18" customHeight="1">
      <c r="A36" s="2137"/>
      <c r="B36" s="2136" t="s">
        <v>1841</v>
      </c>
      <c r="C36" s="2136" t="s">
        <v>1842</v>
      </c>
      <c r="D36" s="2136" t="s">
        <v>1843</v>
      </c>
      <c r="E36" s="2136" t="s">
        <v>1844</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1845</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1846</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1848</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1849</v>
      </c>
      <c r="B42" s="1796" t="s">
        <v>1850</v>
      </c>
      <c r="C42" s="1796" t="s">
        <v>1851</v>
      </c>
      <c r="D42" s="1796" t="s">
        <v>1852</v>
      </c>
      <c r="E42" s="1796" t="s">
        <v>1853</v>
      </c>
      <c r="F42" s="1796" t="s">
        <v>1854</v>
      </c>
      <c r="G42" s="1796" t="s">
        <v>1855</v>
      </c>
      <c r="H42" s="1796" t="s">
        <v>1856</v>
      </c>
      <c r="I42" s="1796" t="s">
        <v>1857</v>
      </c>
      <c r="J42" s="2152" t="s">
        <v>1858</v>
      </c>
      <c r="K42" s="2075" t="s">
        <v>1859</v>
      </c>
      <c r="L42" s="2075" t="s">
        <v>1860</v>
      </c>
      <c r="M42" s="2075" t="s">
        <v>1861</v>
      </c>
      <c r="N42" s="1796" t="s">
        <v>1862</v>
      </c>
      <c r="O42" s="1796" t="s">
        <v>1863</v>
      </c>
      <c r="P42" s="1796" t="s">
        <v>1864</v>
      </c>
      <c r="Q42" s="2074" t="s">
        <v>1865</v>
      </c>
      <c r="R42" s="2074" t="s">
        <v>1866</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1872</v>
      </c>
      <c r="AZ2" s="1271"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1121.78</v>
      </c>
      <c r="B3" s="14">
        <f>IF(C3="否",G5-AT5,G5)</f>
        <v>2496.59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4"/>
      <c r="C5" s="1804"/>
      <c r="D5" s="1807"/>
      <c r="E5" s="16" t="s">
        <v>1</v>
      </c>
      <c r="F5" s="16">
        <f>SUM(F13:F587)</f>
        <v>0</v>
      </c>
      <c r="G5" s="16">
        <f>SUM(G13:G587)</f>
        <v>2496.59</v>
      </c>
      <c r="H5" s="16">
        <f t="shared" ref="H5:AT5" si="0">SUM(H13:H656)</f>
        <v>2496.59</v>
      </c>
      <c r="I5" s="16">
        <f t="shared" si="0"/>
        <v>1394.13</v>
      </c>
      <c r="J5" s="16">
        <f t="shared" si="0"/>
        <v>0</v>
      </c>
      <c r="K5" s="16">
        <f t="shared" si="0"/>
        <v>1102.46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2496.59</v>
      </c>
      <c r="BA5" s="18">
        <f t="shared" si="1"/>
        <v>2496.59</v>
      </c>
      <c r="BB5" s="18">
        <f t="shared" si="1"/>
        <v>1394.13</v>
      </c>
      <c r="BC5" s="18">
        <f t="shared" si="1"/>
        <v>1102.46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1121.78</v>
      </c>
      <c r="F6" s="16" t="s">
        <v>1</v>
      </c>
      <c r="G6" s="16" t="s">
        <v>2</v>
      </c>
      <c r="H6" s="20">
        <f>SUMIF(I$12:AB$12,"总值",I6:AB6)</f>
        <v>1121.78</v>
      </c>
      <c r="I6" s="16">
        <f t="shared" ref="I6:AB6" si="2">ROUND($A$3*I5/$B$3,2)</f>
        <v>626.41999999999996</v>
      </c>
      <c r="J6" s="16">
        <f t="shared" si="2"/>
        <v>0</v>
      </c>
      <c r="K6" s="16">
        <f t="shared" si="2"/>
        <v>495.36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1121.78</v>
      </c>
      <c r="AZ6" s="16" t="s">
        <v>3</v>
      </c>
      <c r="BA6" s="16">
        <f>ROUND($AY$6*BA5/$AZ$5,2)</f>
        <v>1121.78</v>
      </c>
      <c r="BB6" s="16">
        <f>ROUND($AY$6*BB5/$AZ$5,2)</f>
        <v>626.41999999999996</v>
      </c>
      <c r="BC6" s="16">
        <f t="shared" ref="BC6:BH6" si="4">ROUND($AY$6*BC5/$AZ$5,2)</f>
        <v>495.36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1885</v>
      </c>
      <c r="AV7" s="23" t="s">
        <v>1886</v>
      </c>
      <c r="AW7" s="2166" t="s">
        <v>1887</v>
      </c>
      <c r="AX7" s="23" t="s">
        <v>1880</v>
      </c>
      <c r="AY7" s="1804"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9"/>
      <c r="K8" s="1819"/>
      <c r="L8" s="1819"/>
      <c r="M8" s="1819"/>
      <c r="N8" s="1819"/>
      <c r="O8" s="1819"/>
      <c r="P8" s="1819"/>
      <c r="Q8" s="1819"/>
      <c r="R8" s="1819"/>
      <c r="S8" s="1819"/>
      <c r="T8" s="1819"/>
      <c r="U8" s="1819"/>
      <c r="V8" s="2186"/>
      <c r="W8" s="1819"/>
      <c r="X8" s="1819"/>
      <c r="Y8" s="1819"/>
      <c r="Z8" s="1819"/>
      <c r="AA8" s="2186"/>
      <c r="AB8" s="2187"/>
      <c r="AC8" s="982" t="s">
        <v>1891</v>
      </c>
      <c r="AD8" s="2188"/>
      <c r="AE8" s="2180"/>
      <c r="AF8" s="1819"/>
      <c r="AG8" s="1819"/>
      <c r="AH8" s="1819"/>
      <c r="AI8" s="1819"/>
      <c r="AJ8" s="1819"/>
      <c r="AK8" s="1819"/>
      <c r="AL8" s="1819"/>
      <c r="AM8" s="1819"/>
      <c r="AN8" s="1819"/>
      <c r="AO8" s="1819"/>
      <c r="AP8" s="1819"/>
      <c r="AQ8" s="1819"/>
      <c r="AR8" s="1819"/>
      <c r="AS8" s="1819"/>
      <c r="AT8" s="1293" t="s">
        <v>1892</v>
      </c>
      <c r="AU8" s="2182" t="s">
        <v>1893</v>
      </c>
      <c r="AV8" s="1293"/>
      <c r="AW8" s="2165"/>
      <c r="AX8" s="1293"/>
      <c r="AY8" s="2166"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1896</v>
      </c>
      <c r="I9" s="2191" t="s">
        <v>3066</v>
      </c>
      <c r="J9" s="982"/>
      <c r="K9" s="2191" t="s">
        <v>3068</v>
      </c>
      <c r="L9" s="982"/>
      <c r="M9" s="2191"/>
      <c r="N9" s="982"/>
      <c r="O9" s="2191"/>
      <c r="P9" s="982"/>
      <c r="Q9" s="2191"/>
      <c r="R9" s="982"/>
      <c r="S9" s="2191"/>
      <c r="T9" s="982"/>
      <c r="U9" s="2191"/>
      <c r="V9" s="982"/>
      <c r="W9" s="2191"/>
      <c r="X9" s="2192"/>
      <c r="Y9" s="2191"/>
      <c r="Z9" s="982"/>
      <c r="AA9" s="2191"/>
      <c r="AB9" s="982"/>
      <c r="AC9" s="2183"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3"/>
      <c r="AT9" s="2182"/>
      <c r="AU9" s="2182" t="s">
        <v>1899</v>
      </c>
      <c r="AV9" s="1293"/>
      <c r="AW9" s="2165"/>
      <c r="AX9" s="1293"/>
      <c r="AY9" s="28"/>
      <c r="AZ9" s="28" t="s">
        <v>1889</v>
      </c>
      <c r="BA9" s="2194" t="s">
        <v>1900</v>
      </c>
      <c r="BB9" s="2195"/>
      <c r="BC9" s="1339"/>
      <c r="BD9" s="1339"/>
      <c r="BE9" s="1339"/>
      <c r="BF9" s="1339"/>
      <c r="BG9" s="1339"/>
      <c r="BH9" s="1339"/>
      <c r="BI9" s="1339"/>
      <c r="BJ9" s="1339"/>
      <c r="BK9" s="2196"/>
      <c r="BL9" s="15" t="s">
        <v>1901</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1902</v>
      </c>
      <c r="AE10" s="2198"/>
      <c r="AF10" s="15" t="s">
        <v>1902</v>
      </c>
      <c r="AG10" s="2198"/>
      <c r="AH10" s="15" t="s">
        <v>1903</v>
      </c>
      <c r="AI10" s="2198"/>
      <c r="AJ10" s="15" t="s">
        <v>1903</v>
      </c>
      <c r="AK10" s="2198"/>
      <c r="AL10" s="15" t="s">
        <v>1904</v>
      </c>
      <c r="AM10" s="1299"/>
      <c r="AN10" s="15" t="s">
        <v>1904</v>
      </c>
      <c r="AO10" s="1299"/>
      <c r="AP10" s="15" t="s">
        <v>1905</v>
      </c>
      <c r="AQ10" s="1299"/>
      <c r="AR10" s="15" t="s">
        <v>1905</v>
      </c>
      <c r="AS10" s="1299"/>
      <c r="AT10" s="2182"/>
      <c r="AU10" s="2182"/>
      <c r="AV10" s="1293"/>
      <c r="AW10" s="2165"/>
      <c r="AX10" s="1293"/>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1906</v>
      </c>
      <c r="AE11" s="1820"/>
      <c r="AF11" s="2204" t="s">
        <v>1906</v>
      </c>
      <c r="AG11" s="1820"/>
      <c r="AH11" s="2204" t="s">
        <v>1907</v>
      </c>
      <c r="AI11" s="2205"/>
      <c r="AJ11" s="2204" t="s">
        <v>1907</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9"/>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3062</v>
      </c>
      <c r="D13" s="2213" t="s">
        <v>3053</v>
      </c>
      <c r="E13" s="16">
        <f>IF($C$3="是",ROUND($A$3*G13/$B$3,2),ROUND($A$3*(G13-AT13)/$B$3,2))</f>
        <v>189.07</v>
      </c>
      <c r="F13" s="32"/>
      <c r="G13" s="33">
        <f>H13+AC13+AT13</f>
        <v>420.78</v>
      </c>
      <c r="H13" s="20">
        <f>SUMIF(I$12:AB$12,"总值",I13:AB13)</f>
        <v>420.78</v>
      </c>
      <c r="I13" s="2214">
        <v>420.78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7">
        <f>ROUND($AY$6*AZ13/$AZ$5,2)</f>
        <v>189.07</v>
      </c>
      <c r="AZ13" s="16">
        <f>BA13+BL13</f>
        <v>420.78</v>
      </c>
      <c r="BA13" s="16">
        <f>SUM(BB13:BK13)</f>
        <v>420.78</v>
      </c>
      <c r="BB13" s="16">
        <f>IF($D13="是",I13-J13,0)</f>
        <v>420.78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t="s">
        <v>3063</v>
      </c>
      <c r="D14" s="2213" t="s">
        <v>3053</v>
      </c>
      <c r="E14" s="16">
        <f>IF($C$3="是",ROUND($A$3*G14/$B$3,2),ROUND($A$3*(G14-AT14)/$B$3,2))</f>
        <v>196.22</v>
      </c>
      <c r="F14" s="32"/>
      <c r="G14" s="33">
        <f>H14+AC14+AT14</f>
        <v>436.69</v>
      </c>
      <c r="H14" s="20">
        <f>SUMIF(I$12:AB$12,"总值",I14:AB14)</f>
        <v>436.69</v>
      </c>
      <c r="I14" s="2214">
        <v>436.69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7">
        <f>ROUND($AY$6*AZ14/$AZ$5,2)</f>
        <v>196.22</v>
      </c>
      <c r="AZ14" s="16">
        <f>BA14+BL14</f>
        <v>436.69</v>
      </c>
      <c r="BA14" s="16">
        <f>SUM(BB14:BK14)</f>
        <v>436.69</v>
      </c>
      <c r="BB14" s="16">
        <f>IF($D14="是",I14-J14,0)</f>
        <v>436.69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t="s">
        <v>3064</v>
      </c>
      <c r="D15" s="2213" t="s">
        <v>3053</v>
      </c>
      <c r="E15" s="16">
        <f>IF($C$3="是",ROUND($A$3*G15/$B$3,2),ROUND($A$3*(G15-AT15)/$B$3,2))</f>
        <v>241.13</v>
      </c>
      <c r="F15" s="32"/>
      <c r="G15" s="33">
        <f>H15+AC15+AT15</f>
        <v>536.66</v>
      </c>
      <c r="H15" s="20">
        <f>SUMIF(I$12:AB$12,"总值",I15:AB15)</f>
        <v>536.66</v>
      </c>
      <c r="I15" s="2214">
        <v>536.66</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7">
        <f>ROUND($AY$6*AZ15/$AZ$5,2)</f>
        <v>241.13</v>
      </c>
      <c r="AZ15" s="16">
        <f>BA15+BL15</f>
        <v>536.66</v>
      </c>
      <c r="BA15" s="16">
        <f>SUM(BB15:BK15)</f>
        <v>536.66</v>
      </c>
      <c r="BB15" s="16">
        <f>IF($D15="是",I15-J15,0)</f>
        <v>536.66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t="s">
        <v>3065</v>
      </c>
      <c r="D16" s="2213" t="s">
        <v>3053</v>
      </c>
      <c r="E16" s="16">
        <f>IF($C$3="是",ROUND($A$3*G16/$B$3,2),ROUND($A$3*(G16-AT16)/$B$3,2))</f>
        <v>495.36</v>
      </c>
      <c r="F16" s="32"/>
      <c r="G16" s="33">
        <f>H16+AC16+AT16</f>
        <v>1102.46</v>
      </c>
      <c r="H16" s="20">
        <f>SUMIF(I$12:AB$12,"总值",I16:AB16)</f>
        <v>1102.46</v>
      </c>
      <c r="I16" s="2214"/>
      <c r="J16" s="2214"/>
      <c r="K16" s="2214">
        <v>1102.46</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地下1层</v>
      </c>
      <c r="AY16" s="1807">
        <f>ROUND($AY$6*AZ16/$AZ$5,2)</f>
        <v>495.36</v>
      </c>
      <c r="AZ16" s="16">
        <f>BA16+BL16</f>
        <v>1102.46</v>
      </c>
      <c r="BA16" s="16">
        <f>SUM(BB16:BK16)</f>
        <v>1102.46</v>
      </c>
      <c r="BB16" s="16">
        <f>IF($D16="是",I16-J16,0)</f>
        <v>0</v>
      </c>
      <c r="BC16" s="16">
        <f>IF($D16="是",K16-L16,0)</f>
        <v>1102.46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3"/>
      <c r="C1" s="1393"/>
      <c r="D1" s="1393"/>
      <c r="E1" s="1393"/>
      <c r="F1" s="1393"/>
      <c r="G1" s="1393"/>
      <c r="H1" s="1393"/>
      <c r="I1" s="1393"/>
      <c r="J1" s="1393"/>
      <c r="K1" s="1393"/>
      <c r="L1" s="1393"/>
      <c r="M1" s="1393"/>
      <c r="N1" s="1393"/>
      <c r="O1" s="1393"/>
      <c r="P1" s="1393"/>
    </row>
    <row r="2" spans="1:16" ht="15">
      <c r="A2" s="3134" t="s">
        <v>1936</v>
      </c>
      <c r="B2" s="3134"/>
      <c r="C2" s="3134"/>
      <c r="D2" s="968" t="s">
        <v>1912</v>
      </c>
      <c r="E2" s="2227" t="s">
        <v>1913</v>
      </c>
      <c r="F2" s="1393"/>
      <c r="G2" s="2228"/>
      <c r="H2" s="2229"/>
      <c r="I2" s="2230" t="s">
        <v>1937</v>
      </c>
      <c r="J2" s="1393"/>
      <c r="K2" s="1393"/>
      <c r="L2" s="1393"/>
      <c r="M2" s="1393"/>
      <c r="N2" s="1428"/>
      <c r="O2" s="1393"/>
      <c r="P2" s="1393"/>
    </row>
    <row r="3" spans="1:16" ht="15.75" thickBot="1">
      <c r="A3" s="3135" t="s">
        <v>1910</v>
      </c>
      <c r="B3" s="3135"/>
      <c r="C3" s="3135"/>
      <c r="D3" s="46">
        <f>'数据-基础表'!AY6</f>
        <v>1121.78</v>
      </c>
      <c r="E3" s="46">
        <f>'数据-基础表'!AZ5</f>
        <v>2496.59</v>
      </c>
      <c r="F3" s="1393"/>
      <c r="G3" s="1400"/>
      <c r="H3" s="1248" t="s">
        <v>1911</v>
      </c>
      <c r="I3" s="55">
        <f>ROUND('数据-基础表'!B3/'数据-基础表'!A3,2)</f>
        <v>2.23</v>
      </c>
      <c r="J3" s="1393"/>
      <c r="K3" s="1393"/>
      <c r="L3" s="1393"/>
      <c r="M3" s="1393"/>
      <c r="N3" s="1428"/>
      <c r="O3" s="1393"/>
      <c r="P3" s="1393"/>
    </row>
    <row r="4" spans="1:16" ht="15">
      <c r="A4" s="3136"/>
      <c r="B4" s="3137"/>
      <c r="C4" s="3138"/>
      <c r="D4" s="2231" t="s">
        <v>1912</v>
      </c>
      <c r="E4" s="2232" t="s">
        <v>1913</v>
      </c>
      <c r="F4" s="1393"/>
      <c r="G4" s="2233" t="s">
        <v>1938</v>
      </c>
      <c r="H4" s="1248" t="s">
        <v>1918</v>
      </c>
      <c r="I4" s="55">
        <f>ROUND(SUMIF('数据-基础表'!I9:AS9,"地上",'数据-基础表'!I5:AS5)/'数据-基础表'!A3,2)</f>
        <v>1.24</v>
      </c>
      <c r="J4" s="1393"/>
      <c r="K4" s="1393"/>
      <c r="L4" s="1393"/>
      <c r="M4" s="1393"/>
      <c r="N4" s="1428"/>
      <c r="O4" s="1393"/>
      <c r="P4" s="1393"/>
    </row>
    <row r="5" spans="1:16">
      <c r="A5" s="47" t="s">
        <v>1914</v>
      </c>
      <c r="B5" s="3139" t="s">
        <v>1915</v>
      </c>
      <c r="C5" s="3139"/>
      <c r="D5" s="48">
        <f>ROUND($D$3*E5/$E$3,2)</f>
        <v>0</v>
      </c>
      <c r="E5" s="49">
        <f>SUMIF('数据-基础表'!$11:$11,"住宅",'数据-基础表'!$5:$5)</f>
        <v>0</v>
      </c>
      <c r="F5" s="1393"/>
      <c r="G5" s="1400"/>
      <c r="H5" s="1248" t="s">
        <v>1911</v>
      </c>
      <c r="I5" s="55">
        <f>ROUND(E31/D31,2)</f>
        <v>2.23</v>
      </c>
      <c r="J5" s="1393"/>
      <c r="K5" s="1393"/>
      <c r="L5" s="1393"/>
      <c r="M5" s="1393"/>
      <c r="N5" s="1393"/>
      <c r="O5" s="1393"/>
      <c r="P5" s="1393"/>
    </row>
    <row r="6" spans="1:16" ht="15" thickBot="1">
      <c r="A6" s="2234"/>
      <c r="B6" s="3139" t="s">
        <v>1916</v>
      </c>
      <c r="C6" s="3139"/>
      <c r="D6" s="48">
        <f>ROUND($D$3*E6/$E$3,2)</f>
        <v>1121.78</v>
      </c>
      <c r="E6" s="49">
        <f>E3-E5</f>
        <v>2496.59</v>
      </c>
      <c r="F6" s="1393"/>
      <c r="G6" s="2235" t="s">
        <v>1917</v>
      </c>
      <c r="H6" s="1400" t="s">
        <v>1918</v>
      </c>
      <c r="I6" s="940">
        <f>ROUND(F31/D31,2)</f>
        <v>1.24</v>
      </c>
      <c r="J6" s="1393"/>
      <c r="K6" s="1393"/>
      <c r="L6" s="1393"/>
      <c r="M6" s="1393"/>
      <c r="N6" s="1393"/>
      <c r="O6" s="1393"/>
      <c r="P6" s="1393"/>
    </row>
    <row r="7" spans="1:16" ht="15">
      <c r="A7" s="3131"/>
      <c r="B7" s="3132"/>
      <c r="C7" s="3133"/>
      <c r="D7" s="2231" t="s">
        <v>1912</v>
      </c>
      <c r="E7" s="2236" t="s">
        <v>1919</v>
      </c>
      <c r="F7" s="1393"/>
      <c r="G7" s="2228" t="s">
        <v>1920</v>
      </c>
      <c r="H7" s="64"/>
      <c r="I7" s="420"/>
      <c r="J7" s="1393"/>
      <c r="K7" s="1393"/>
      <c r="L7" s="1393"/>
      <c r="M7" s="1393"/>
      <c r="N7" s="1393"/>
      <c r="O7" s="1393"/>
      <c r="P7" s="1393"/>
    </row>
    <row r="8" spans="1:16">
      <c r="A8" s="47" t="s">
        <v>1921</v>
      </c>
      <c r="B8" s="50" t="s">
        <v>1922</v>
      </c>
      <c r="C8" s="48" t="s">
        <v>1923</v>
      </c>
      <c r="D8" s="48">
        <f t="shared" ref="D8:D15" si="0">ROUND($D$3*E8/$E$3,2)</f>
        <v>626.41999999999996</v>
      </c>
      <c r="E8" s="51">
        <f>SUMIF('数据-基础表'!BB10:BK10,"地上",'数据-基础表'!BB5:BK5)</f>
        <v>1394.13</v>
      </c>
      <c r="F8" s="1393"/>
      <c r="G8" s="2237"/>
      <c r="H8" s="2237"/>
      <c r="I8" s="1393"/>
      <c r="J8" s="1393"/>
      <c r="K8" s="1393"/>
      <c r="L8" s="1393"/>
      <c r="M8" s="1393"/>
      <c r="N8" s="1393"/>
      <c r="O8" s="1393"/>
      <c r="P8" s="1393"/>
    </row>
    <row r="9" spans="1:16">
      <c r="A9" s="2238"/>
      <c r="B9" s="2239"/>
      <c r="C9" s="48" t="s">
        <v>1924</v>
      </c>
      <c r="D9" s="48">
        <f t="shared" si="0"/>
        <v>0</v>
      </c>
      <c r="E9" s="52">
        <v>0</v>
      </c>
      <c r="F9" s="1393"/>
      <c r="G9" s="2237"/>
      <c r="H9" s="2237"/>
      <c r="I9" s="1393"/>
      <c r="J9" s="1393"/>
      <c r="K9" s="1393"/>
      <c r="L9" s="1393"/>
      <c r="M9" s="1393"/>
      <c r="N9" s="1393"/>
      <c r="O9" s="1393"/>
      <c r="P9" s="1393"/>
    </row>
    <row r="10" spans="1:16">
      <c r="A10" s="2238"/>
      <c r="B10" s="2239"/>
      <c r="C10" s="48" t="s">
        <v>1933</v>
      </c>
      <c r="D10" s="48">
        <f t="shared" si="0"/>
        <v>495.36</v>
      </c>
      <c r="E10" s="51">
        <f>SUMPRODUCT(('数据-基础表'!BB10:BK10="地下")*('数据-基础表'!BB11:BK11="商业")*('数据-基础表'!BB5:BK5))</f>
        <v>1102.46</v>
      </c>
      <c r="F10" s="1393"/>
      <c r="G10" s="2237"/>
      <c r="H10" s="2237"/>
      <c r="I10" s="1393"/>
      <c r="J10" s="1393"/>
      <c r="K10" s="1393"/>
      <c r="L10" s="1393"/>
      <c r="M10" s="1393"/>
      <c r="N10" s="1393"/>
      <c r="O10" s="1393"/>
      <c r="P10" s="1393"/>
    </row>
    <row r="11" spans="1:16">
      <c r="A11" s="2238"/>
      <c r="B11" s="2239"/>
      <c r="C11" s="48" t="s">
        <v>1925</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1926</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1927</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1939</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1934</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1928</v>
      </c>
      <c r="D16" s="50">
        <f>SUM(D8:D15)</f>
        <v>1121.78</v>
      </c>
      <c r="E16" s="53">
        <f>SUM(E8:E15)</f>
        <v>2496.59</v>
      </c>
      <c r="F16" s="1393"/>
      <c r="G16" s="2237"/>
      <c r="H16" s="2240" t="s">
        <v>1940</v>
      </c>
      <c r="I16" s="2241"/>
      <c r="J16" s="1393"/>
      <c r="K16" s="3128" t="s">
        <v>1940</v>
      </c>
      <c r="L16" s="3129"/>
      <c r="M16" s="3129"/>
      <c r="N16" s="3129"/>
      <c r="O16" s="3129"/>
      <c r="P16" s="3130"/>
    </row>
    <row r="17" spans="1:19" ht="15">
      <c r="A17" s="2242" t="s">
        <v>1941</v>
      </c>
      <c r="B17" s="2243" t="s">
        <v>1942</v>
      </c>
      <c r="C17" s="2244" t="s">
        <v>1943</v>
      </c>
      <c r="D17" s="2245" t="s">
        <v>1931</v>
      </c>
      <c r="E17" s="2246" t="s">
        <v>1932</v>
      </c>
      <c r="F17" s="2247"/>
      <c r="G17" s="2248"/>
      <c r="H17" s="2249" t="s">
        <v>1944</v>
      </c>
      <c r="I17" s="2250" t="s">
        <v>1929</v>
      </c>
      <c r="J17" s="1393"/>
      <c r="K17" s="3125" t="s">
        <v>1945</v>
      </c>
      <c r="L17" s="3126"/>
      <c r="M17" s="3127"/>
      <c r="N17" s="3125" t="s">
        <v>1946</v>
      </c>
      <c r="O17" s="3126"/>
      <c r="P17" s="3127"/>
      <c r="R17" s="2228" t="s">
        <v>1947</v>
      </c>
      <c r="S17" s="64"/>
    </row>
    <row r="18" spans="1:19" ht="15">
      <c r="A18" s="2238"/>
      <c r="B18" s="2251"/>
      <c r="C18" s="2252"/>
      <c r="D18" s="2253"/>
      <c r="E18" s="2254" t="s">
        <v>1948</v>
      </c>
      <c r="F18" s="2255" t="s">
        <v>1949</v>
      </c>
      <c r="G18" s="2256" t="s">
        <v>1950</v>
      </c>
      <c r="H18" s="1263" t="s">
        <v>1951</v>
      </c>
      <c r="I18" s="2257" t="s">
        <v>1952</v>
      </c>
      <c r="J18" s="1393"/>
      <c r="K18" s="1263" t="s">
        <v>1953</v>
      </c>
      <c r="L18" s="2258" t="s">
        <v>1954</v>
      </c>
      <c r="M18" s="1047" t="s">
        <v>1955</v>
      </c>
      <c r="N18" s="1263" t="s">
        <v>1953</v>
      </c>
      <c r="O18" s="2258" t="s">
        <v>1954</v>
      </c>
      <c r="P18" s="1047" t="s">
        <v>1955</v>
      </c>
      <c r="R18" s="1248" t="s">
        <v>1956</v>
      </c>
      <c r="S18" s="1248" t="s">
        <v>1957</v>
      </c>
    </row>
    <row r="19" spans="1:19">
      <c r="A19" s="2259"/>
      <c r="B19" s="50" t="s">
        <v>1930</v>
      </c>
      <c r="C19" s="2964" t="s">
        <v>3197</v>
      </c>
      <c r="D19" s="48">
        <f>ROUND($D$3*E19/$E$3,2)</f>
        <v>1121.78</v>
      </c>
      <c r="E19" s="56">
        <f t="shared" ref="E19:E26" si="1">SUM(F19:G19)</f>
        <v>2496.59</v>
      </c>
      <c r="F19" s="3027">
        <f>'数据-基础表'!I5</f>
        <v>1394.13</v>
      </c>
      <c r="G19" s="58">
        <f>'数据-基础表'!K5</f>
        <v>1102.46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1121.78</v>
      </c>
      <c r="S19" s="1249">
        <f t="shared" si="5"/>
        <v>2496.59</v>
      </c>
    </row>
    <row r="20" spans="1:19">
      <c r="A20" s="2263"/>
      <c r="B20" s="50" t="s">
        <v>1958</v>
      </c>
      <c r="C20" s="2964"/>
      <c r="D20" s="48">
        <f t="shared" ref="D20:D26" si="6">ROUND($D$3*E20/$E$3,2)</f>
        <v>0</v>
      </c>
      <c r="E20" s="56">
        <f t="shared" si="1"/>
        <v>0</v>
      </c>
      <c r="F20" s="3027"/>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1958</v>
      </c>
      <c r="C21" s="2260"/>
      <c r="D21" s="48">
        <f t="shared" si="6"/>
        <v>0</v>
      </c>
      <c r="E21" s="56">
        <f t="shared" si="1"/>
        <v>0</v>
      </c>
      <c r="F21" s="57"/>
      <c r="G21" s="58"/>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1959</v>
      </c>
      <c r="D27" s="1394">
        <f>SUM(D19:D26)</f>
        <v>1121.78</v>
      </c>
      <c r="E27" s="1395">
        <f>IF(SUM(E19:E26)='数据-基础表'!BA5,SUM(E19:E26),IF(F27="地上面积有误","面积有误","地下面积有误"))</f>
        <v>2496.59</v>
      </c>
      <c r="F27" s="1394">
        <f>IF(SUM(F19:F26)=E8,SUM(F19:F26),"地上面积有误")</f>
        <v>1394.13</v>
      </c>
      <c r="G27" s="1396">
        <f>SUM(G19:G26)</f>
        <v>1102.46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1121.78</v>
      </c>
      <c r="S27" s="1248">
        <f>IF(SUM(S19:S26)=$E$3,SUM(S19:S26),SUM(S19:S26)&amp;"误差"&amp;ROUND(SUM(S19:S26)-E3,2))</f>
        <v>2496.59</v>
      </c>
    </row>
    <row r="28" spans="1:19">
      <c r="A28" s="2263"/>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1960</v>
      </c>
      <c r="C29" s="2267"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1121.78</v>
      </c>
      <c r="E31" s="727">
        <f>E27+E30</f>
        <v>2496.59</v>
      </c>
      <c r="F31" s="728">
        <f>F27+F30</f>
        <v>1394.13</v>
      </c>
      <c r="G31" s="729">
        <f>G27+G30</f>
        <v>1102.46</v>
      </c>
      <c r="H31" s="1393"/>
      <c r="I31" s="1393"/>
      <c r="J31" s="1393"/>
      <c r="K31" s="1393"/>
      <c r="L31" s="1393"/>
      <c r="M31" s="1393"/>
      <c r="N31" s="1393"/>
      <c r="O31" s="1393"/>
      <c r="P31" s="1393"/>
    </row>
    <row r="32" spans="1:19">
      <c r="A32" s="2233"/>
      <c r="B32" s="2233" t="s">
        <v>1964</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43251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3067</v>
      </c>
      <c r="O5" s="2296" t="s">
        <v>1986</v>
      </c>
      <c r="P5" s="2299" t="s">
        <v>1987</v>
      </c>
      <c r="Q5" s="69" t="s">
        <v>1988</v>
      </c>
      <c r="R5" s="2300" t="s">
        <v>1989</v>
      </c>
      <c r="S5" s="2301" t="s">
        <v>1990</v>
      </c>
      <c r="T5" s="2302" t="s">
        <v>1991</v>
      </c>
      <c r="U5" s="1268" t="s">
        <v>1992</v>
      </c>
      <c r="V5" s="1269" t="s">
        <v>1993</v>
      </c>
      <c r="W5" s="1269" t="s">
        <v>1994</v>
      </c>
      <c r="X5" s="71"/>
      <c r="Y5" s="70" t="s">
        <v>1995</v>
      </c>
      <c r="Z5" s="2303" t="s">
        <v>1992</v>
      </c>
      <c r="AA5" s="1269" t="s">
        <v>1993</v>
      </c>
      <c r="AB5" s="1269" t="s">
        <v>1994</v>
      </c>
      <c r="AC5" s="71"/>
      <c r="AD5" s="71" t="s">
        <v>1995</v>
      </c>
      <c r="AE5" s="1268" t="s">
        <v>1996</v>
      </c>
      <c r="AF5" s="1269" t="s">
        <v>1997</v>
      </c>
      <c r="AG5" s="70" t="s">
        <v>1998</v>
      </c>
      <c r="AH5" s="1268" t="s">
        <v>1999</v>
      </c>
      <c r="AI5" s="2303" t="s">
        <v>2000</v>
      </c>
      <c r="AJ5" s="2303" t="s">
        <v>2001</v>
      </c>
      <c r="AK5" s="1269" t="s">
        <v>2002</v>
      </c>
      <c r="AL5" s="1269" t="s">
        <v>2003</v>
      </c>
      <c r="AM5" s="70" t="s">
        <v>2004</v>
      </c>
      <c r="AN5" s="2304" t="s">
        <v>2005</v>
      </c>
      <c r="AO5" s="2074" t="s">
        <v>2006</v>
      </c>
      <c r="AP5" s="1250"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商业用房</v>
      </c>
      <c r="B6" s="2307" t="str">
        <f>IF(A6=0,"","经营性")</f>
        <v>经营性</v>
      </c>
      <c r="C6" s="2308" t="s">
        <v>1377</v>
      </c>
      <c r="D6" s="1052">
        <f>SUMIF(项目基本情况!D$12:I$12,C6,项目基本情况!D$14:I$14)</f>
        <v>40</v>
      </c>
      <c r="E6" s="1049">
        <f>IF(B6="","",SUMIF(项目基本情况!D$12:I$12,C6,项目基本情况!D$13:I$13))</f>
        <v>52196</v>
      </c>
      <c r="F6" s="72">
        <f>SUMIF(项目基本情况!D$12:I$12,C6,项目基本情况!D$15:I$15)</f>
        <v>24.5</v>
      </c>
      <c r="G6" s="73">
        <f>IF(ISERROR(ROUND(POWER(1+H6,D6-F6)*(POWER(1+H6,F6)-1)/(POWER(1+H6,D6)-1),3)),0,ROUND(POWER(1+H6,D6-F6)*(POWER(1+H6,F6)-1)/(POWER(1+H6,D6)-1),3))</f>
        <v>0.81299999999999994</v>
      </c>
      <c r="H6" s="800">
        <v>0.05</v>
      </c>
      <c r="I6" s="800">
        <v>5.5E-2</v>
      </c>
      <c r="J6" s="74">
        <v>0.1</v>
      </c>
      <c r="K6" s="1252">
        <f>SUMIF('数据-汇总表'!C$19:C$33,A6,'数据-汇总表'!E$19:E$33)</f>
        <v>2496.59</v>
      </c>
      <c r="L6" s="801">
        <v>3200</v>
      </c>
      <c r="M6" s="75">
        <f t="shared" ref="M6:M14" si="0">ROUND(K6*L6/10000,0)</f>
        <v>799</v>
      </c>
      <c r="N6" s="799">
        <v>0.77</v>
      </c>
      <c r="O6" s="75" t="str">
        <f>IF($N$5="成新度","——",ROUND(M6*N6,0))</f>
        <v>——</v>
      </c>
      <c r="P6" s="76" t="str">
        <f>IF($N$5="成新度","——",M6-O6)</f>
        <v>——</v>
      </c>
      <c r="Q6" s="802">
        <v>0.25</v>
      </c>
      <c r="R6" s="77">
        <f ca="1">SUMIF('数据-汇总表'!C$19:C$33,A6,'数据-汇总表'!R$19:R$27)</f>
        <v>1121.78</v>
      </c>
      <c r="S6" s="54">
        <f>IF('数据-汇总表'!$I$17="按面积比例",SUMIF('数据-汇总表'!C$19:C$33,A6,'数据-汇总表'!K$19:K$33),SUMIF('数据-汇总表'!C$19:C$33,A6,'数据-汇总表'!N$19:N$33))</f>
        <v>0</v>
      </c>
      <c r="T6" s="1444">
        <f>ROUND($L$14*S6/10000,0)</f>
        <v>0</v>
      </c>
      <c r="U6" s="78">
        <f>案例及商业租金楼层修正!F59</f>
        <v>5.6</v>
      </c>
      <c r="V6" s="79">
        <v>0.03</v>
      </c>
      <c r="W6" s="79">
        <v>0.1</v>
      </c>
      <c r="X6" s="1262"/>
      <c r="Y6" s="80">
        <v>0.77</v>
      </c>
      <c r="Z6" s="81"/>
      <c r="AA6" s="74"/>
      <c r="AB6" s="74"/>
      <c r="AC6" s="1262"/>
      <c r="AD6" s="3047"/>
      <c r="AE6" s="1263">
        <f ca="1">IF(AN6="",0,SUMIF(INDIRECT("'"&amp;AN6&amp;"'"&amp;"!E:E"),$AE$5,INDIRECT("'"&amp;AN6&amp;"'"&amp;"!F:F")))</f>
        <v>24.5</v>
      </c>
      <c r="AF6" s="1805"/>
      <c r="AG6" s="147">
        <f>IF(AF6="",0,AE6-AF6)</f>
        <v>0</v>
      </c>
      <c r="AH6" s="83"/>
      <c r="AI6" s="85">
        <v>365</v>
      </c>
      <c r="AJ6" s="86"/>
      <c r="AK6" s="87">
        <v>0.02</v>
      </c>
      <c r="AL6" s="88">
        <v>1.5E-3</v>
      </c>
      <c r="AM6" s="89">
        <v>0.02</v>
      </c>
      <c r="AN6" s="2309" t="s">
        <v>3185</v>
      </c>
      <c r="AO6" s="55">
        <f ca="1">SUMIF(INDIRECT("'"&amp;AN6&amp;"'"&amp;"!A:A"),"总价",INDIRECT("'"&amp;AN6&amp;"'"&amp;"!B:B"))</f>
        <v>6096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v>365</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7"/>
      <c r="C16" s="1006"/>
      <c r="D16" s="2314"/>
      <c r="E16" s="97"/>
      <c r="F16" s="97"/>
      <c r="G16" s="98">
        <f>ROUND(SUMPRODUCT(G6:G13,K6:K13)/SUMPRODUCT((G6:G13&gt;0)*(K6:K13)),3)</f>
        <v>0.81299999999999994</v>
      </c>
      <c r="H16" s="99">
        <f>ROUND(SUMPRODUCT(H6:H13,K6:K13)/SUMPRODUCT((H6:H13&gt;0)*(K6:K13)),3)</f>
        <v>0.05</v>
      </c>
      <c r="I16" s="100"/>
      <c r="J16" s="100"/>
      <c r="K16" s="101">
        <f>SUM(K6:K15)</f>
        <v>2496.59</v>
      </c>
      <c r="L16" s="102">
        <f>ROUND(M16*10000/SUM(K6:K14),0)</f>
        <v>3200</v>
      </c>
      <c r="M16" s="102">
        <f>SUM(M6:M14)</f>
        <v>799</v>
      </c>
      <c r="N16" s="103">
        <f>ROUND(SUMPRODUCT(M6:M14,N6:N14)/M16,3)</f>
        <v>0.77</v>
      </c>
      <c r="O16" s="102">
        <f>SUM(O6:O14)</f>
        <v>0</v>
      </c>
      <c r="P16" s="102">
        <f>SUM(P6:P14)</f>
        <v>0</v>
      </c>
      <c r="Q16" s="104">
        <f>ROUND(SUMPRODUCT(Q6:Q13,K6:K13)/SUMPRODUCT((Q6:Q13&gt;0)*(K6:K13)),2)</f>
        <v>0.25</v>
      </c>
      <c r="R16" s="1256">
        <f ca="1">SUM(R6:R13)</f>
        <v>1121.78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2">
        <v>0</v>
      </c>
      <c r="C19" s="2277" t="s">
        <v>2017</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3">
        <v>1</v>
      </c>
      <c r="C20" s="2277" t="s">
        <v>2019</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3">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4">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4">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5">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6">
        <v>160</v>
      </c>
      <c r="C27" s="1765" t="s">
        <v>2028</v>
      </c>
      <c r="D27" s="2323"/>
      <c r="E27" s="1428"/>
      <c r="F27" s="1428"/>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9">
        <v>200</v>
      </c>
      <c r="C28" s="2326"/>
      <c r="D28" s="2323"/>
      <c r="E28" s="1428"/>
      <c r="F28" s="1428"/>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1">
        <v>0</v>
      </c>
      <c r="C29" s="1765" t="s">
        <v>2031</v>
      </c>
      <c r="D29" s="2323"/>
      <c r="E29" s="1428"/>
      <c r="F29" s="1428"/>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20">
        <f>B30-B32</f>
        <v>200</v>
      </c>
      <c r="C31" s="1765"/>
      <c r="D31" s="2323"/>
      <c r="E31" s="1428"/>
      <c r="F31" s="1428"/>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2">
        <v>0.03</v>
      </c>
      <c r="C34" s="1764" t="s">
        <v>2038</v>
      </c>
      <c r="D34" s="2278" t="s">
        <v>2039</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9">
        <v>200</v>
      </c>
      <c r="C35" s="1764" t="s">
        <v>2041</v>
      </c>
      <c r="D35" s="2323"/>
      <c r="E35" s="1428"/>
      <c r="F35" s="1428"/>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3">
        <v>1.4999999999999999E-2</v>
      </c>
      <c r="C36" s="1764" t="s">
        <v>2043</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4">
        <v>0.02</v>
      </c>
      <c r="C37" s="1764" t="s">
        <v>2045</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2">
        <v>0.02</v>
      </c>
      <c r="C38" s="1764" t="s">
        <v>2045</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4.3499999999999997E-2</v>
      </c>
      <c r="C40" s="1764" t="s">
        <v>2049</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5">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6">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7">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8">
        <v>7.0000000000000007E-2</v>
      </c>
      <c r="C44" s="1764" t="s">
        <v>2054</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6">
        <v>0.03</v>
      </c>
      <c r="C45" s="1765" t="s">
        <v>2056</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6">
        <v>0.02</v>
      </c>
      <c r="C46" s="1765" t="s">
        <v>2058</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9"/>
      <c r="C47" s="1765" t="s">
        <v>2060</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30">
        <v>0.03</v>
      </c>
      <c r="C48" s="1772" t="s">
        <v>2062</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6">
        <v>5.0000000000000001E-4</v>
      </c>
      <c r="C49" s="1772" t="s">
        <v>2064</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1">
        <v>1.2E-2</v>
      </c>
      <c r="C50" s="1428"/>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2">
        <v>0.12</v>
      </c>
      <c r="C51" s="1428"/>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3">
        <f>SUMIF(A54:A63,B53,B54:B63)</f>
        <v>12</v>
      </c>
      <c r="C52" s="1428"/>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t="s">
        <v>137</v>
      </c>
      <c r="C53" s="1428" t="s">
        <v>2069</v>
      </c>
      <c r="D53" s="2337" t="s">
        <v>2070</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4"/>
      <c r="C54" s="1428">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4"/>
      <c r="C55" s="1428">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4"/>
      <c r="C56" s="1428">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4">
        <v>12</v>
      </c>
      <c r="C57" s="1428">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4"/>
      <c r="C58" s="1428">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4"/>
      <c r="C59" s="1428">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4"/>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4"/>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4"/>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4"/>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9" sqref="E39"/>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40" t="s">
        <v>2081</v>
      </c>
      <c r="B1" s="3141"/>
      <c r="C1" s="3141"/>
      <c r="D1" s="3141"/>
      <c r="E1" s="3141"/>
      <c r="F1" s="3141"/>
      <c r="G1" s="314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9" t="s">
        <v>2085</v>
      </c>
      <c r="C3" s="2370" t="s">
        <v>2086</v>
      </c>
      <c r="D3" s="2371"/>
      <c r="E3" s="431" t="s">
        <v>2084</v>
      </c>
      <c r="F3" s="2372" t="s">
        <v>2087</v>
      </c>
      <c r="G3" s="2373" t="s">
        <v>2088</v>
      </c>
      <c r="H3" s="2368"/>
      <c r="I3" s="2368"/>
      <c r="J3" s="2368"/>
      <c r="K3" s="2368"/>
      <c r="L3" s="2368"/>
      <c r="M3" s="2368"/>
      <c r="N3" s="2368"/>
      <c r="O3" s="2368"/>
      <c r="P3" s="2368"/>
      <c r="Q3" s="2368"/>
      <c r="R3" s="2368"/>
    </row>
    <row r="4" spans="1:29" ht="54">
      <c r="A4" s="431"/>
      <c r="B4" s="1796" t="s">
        <v>2089</v>
      </c>
      <c r="C4" s="2965" t="s">
        <v>3069</v>
      </c>
      <c r="D4" s="2371"/>
      <c r="E4" s="2375"/>
      <c r="F4" s="42" t="s">
        <v>2090</v>
      </c>
      <c r="G4" s="2376" t="s">
        <v>2091</v>
      </c>
      <c r="H4" s="2368"/>
      <c r="I4" s="2368"/>
      <c r="J4" s="2368"/>
      <c r="K4" s="2368"/>
      <c r="L4" s="2368"/>
      <c r="M4" s="2368"/>
      <c r="N4" s="2368"/>
      <c r="O4" s="2368"/>
      <c r="P4" s="2368"/>
      <c r="Q4" s="2368"/>
      <c r="R4" s="2368"/>
    </row>
    <row r="5" spans="1:29" ht="41.25">
      <c r="A5" s="431"/>
      <c r="B5" s="1796" t="s">
        <v>2092</v>
      </c>
      <c r="C5" s="2374" t="s">
        <v>2093</v>
      </c>
      <c r="D5" s="2371"/>
      <c r="E5" s="2375"/>
      <c r="F5" s="1796" t="s">
        <v>2094</v>
      </c>
      <c r="G5" s="2376" t="s">
        <v>2095</v>
      </c>
      <c r="H5" s="2368"/>
      <c r="I5" s="2368"/>
      <c r="J5" s="2368"/>
      <c r="K5" s="2368"/>
      <c r="L5" s="2368"/>
      <c r="M5" s="2368"/>
      <c r="N5" s="2368"/>
      <c r="O5" s="2368"/>
      <c r="P5" s="2368"/>
      <c r="Q5" s="2368"/>
      <c r="R5" s="2368"/>
    </row>
    <row r="6" spans="1:29" ht="54">
      <c r="A6" s="431"/>
      <c r="B6" s="1796" t="s">
        <v>2096</v>
      </c>
      <c r="C6" s="2966" t="s">
        <v>3070</v>
      </c>
      <c r="D6" s="2371"/>
      <c r="E6" s="2375"/>
      <c r="F6" s="1796" t="s">
        <v>2097</v>
      </c>
      <c r="G6" s="2376" t="s">
        <v>2098</v>
      </c>
      <c r="H6" s="2368"/>
      <c r="I6" s="2368"/>
      <c r="J6" s="2368"/>
      <c r="K6" s="2368"/>
      <c r="L6" s="2368"/>
      <c r="M6" s="2368"/>
      <c r="N6" s="2368"/>
      <c r="O6" s="2368"/>
      <c r="P6" s="2368"/>
      <c r="Q6" s="2368"/>
      <c r="R6" s="2368"/>
    </row>
    <row r="7" spans="1:29" ht="54.75" thickBot="1">
      <c r="A7" s="431"/>
      <c r="B7" s="1796" t="s">
        <v>2094</v>
      </c>
      <c r="C7" s="2966" t="s">
        <v>3071</v>
      </c>
      <c r="D7" s="2377"/>
      <c r="E7" s="2378"/>
      <c r="F7" s="2379" t="s">
        <v>2099</v>
      </c>
      <c r="G7" s="2380" t="s">
        <v>2100</v>
      </c>
      <c r="H7" s="2368"/>
      <c r="I7" s="2368"/>
      <c r="J7" s="2368"/>
      <c r="K7" s="2368"/>
      <c r="L7" s="2368"/>
      <c r="M7" s="2368"/>
      <c r="N7" s="2368"/>
      <c r="O7" s="2368"/>
      <c r="P7" s="2368"/>
      <c r="Q7" s="2368"/>
      <c r="R7" s="2368"/>
    </row>
    <row r="8" spans="1:29" ht="27">
      <c r="A8" s="431"/>
      <c r="B8" s="1796" t="s">
        <v>2097</v>
      </c>
      <c r="C8" s="2966" t="s">
        <v>3072</v>
      </c>
      <c r="D8" s="2377"/>
      <c r="E8" s="2377"/>
      <c r="F8" s="1134"/>
      <c r="G8" s="1134"/>
      <c r="H8" s="2368"/>
      <c r="I8" s="2368"/>
      <c r="J8" s="2368"/>
      <c r="K8" s="2368"/>
      <c r="L8" s="2368"/>
      <c r="M8" s="2368"/>
      <c r="N8" s="2368"/>
      <c r="O8" s="2368"/>
      <c r="P8" s="2368"/>
      <c r="Q8" s="2368"/>
      <c r="R8" s="2368"/>
    </row>
    <row r="9" spans="1:29" ht="54">
      <c r="A9" s="431"/>
      <c r="B9" s="1796" t="s">
        <v>2101</v>
      </c>
      <c r="C9" s="2965" t="s">
        <v>3073</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t="s">
        <v>3074</v>
      </c>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2085</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57">
      <c r="A16" s="645"/>
      <c r="B16" s="2405" t="s">
        <v>2089</v>
      </c>
      <c r="C16" s="2406" t="str">
        <f>C4</f>
        <v>周边有弘钰博古玩城、北京五环大酒店、十里河文化园等商业项目，商业繁华度较好。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0"/>
    </row>
    <row r="18" spans="1:18" ht="57">
      <c r="A18" s="645"/>
      <c r="B18" s="2408" t="s">
        <v>2096</v>
      </c>
      <c r="C18" s="136" t="str">
        <f>C6</f>
        <v>周边有28、53、621、638路等多条公交线路及地铁10、14号线经过，交通便捷度较好。</v>
      </c>
      <c r="D18" s="2377"/>
      <c r="E18" s="2407"/>
      <c r="F18" s="2408" t="s">
        <v>2099</v>
      </c>
      <c r="G18" s="136" t="str">
        <f>G7</f>
        <v>该园区内是否有污染型企业，绿化情况，卫生条件，整体环境状况判断</v>
      </c>
    </row>
    <row r="19" spans="1:18" ht="28.5">
      <c r="A19" s="645"/>
      <c r="B19" s="2408" t="s">
        <v>2110</v>
      </c>
      <c r="C19" s="2967" t="s">
        <v>3076</v>
      </c>
      <c r="D19" s="2371"/>
      <c r="E19" s="2407"/>
      <c r="F19" s="1796" t="s">
        <v>2094</v>
      </c>
      <c r="G19" s="136" t="str">
        <f>G5</f>
        <v>估价对象所在区域公共配套设施齐备情况</v>
      </c>
    </row>
    <row r="20" spans="1:18" ht="57">
      <c r="A20" s="645"/>
      <c r="B20" s="2408" t="s">
        <v>2111</v>
      </c>
      <c r="C20" s="2406" t="str">
        <f>C9</f>
        <v>周边2公里内有龙潭湖、北京工业大学等，周边无大型污染源，综合考虑自然及人文环境较好。</v>
      </c>
      <c r="D20" s="2377"/>
      <c r="E20" s="2407"/>
      <c r="F20" s="1796" t="s">
        <v>2112</v>
      </c>
      <c r="G20" s="136" t="str">
        <f>G6</f>
        <v>估价对象所在区域基础设施水平</v>
      </c>
    </row>
    <row r="21" spans="1:18" ht="57">
      <c r="A21" s="645"/>
      <c r="B21" s="1796" t="s">
        <v>2094</v>
      </c>
      <c r="C21" s="136" t="str">
        <f>C7</f>
        <v>周边有汉华购物中心、晓慧便民超市、北京中山医院等，公共服务配套设施齐备度较好。</v>
      </c>
      <c r="D21" s="2371"/>
      <c r="E21" s="2407"/>
      <c r="F21" s="2408" t="s">
        <v>2113</v>
      </c>
      <c r="G21" s="2409"/>
    </row>
    <row r="22" spans="1:18" ht="13.5" customHeight="1">
      <c r="A22" s="645"/>
      <c r="B22" s="1796" t="s">
        <v>2097</v>
      </c>
      <c r="C22" s="136" t="str">
        <f>C8</f>
        <v>估价对象所在区域基础设施水平七通</v>
      </c>
      <c r="D22" s="2371"/>
      <c r="E22" s="2407"/>
      <c r="F22" s="2408" t="s">
        <v>2102</v>
      </c>
      <c r="G22" s="1570"/>
    </row>
    <row r="23" spans="1:18" s="2368" customFormat="1" ht="15.75" thickBot="1">
      <c r="A23" s="645"/>
      <c r="B23" s="2408" t="s">
        <v>2113</v>
      </c>
      <c r="C23" s="2409" t="s">
        <v>3075</v>
      </c>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t="str">
        <f>C10</f>
        <v>城市快速路-东三环南路</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39" customWidth="1"/>
    <col min="2" max="9" width="15.75" style="1739" customWidth="1"/>
    <col min="10" max="16384" width="9" style="1739"/>
  </cols>
  <sheetData>
    <row r="1" spans="1:10" ht="16.5">
      <c r="A1" s="1744" t="s">
        <v>1365</v>
      </c>
      <c r="B1" s="1744">
        <f>SUM(B14:B23)</f>
        <v>2496.59</v>
      </c>
      <c r="C1" s="1743"/>
      <c r="D1" s="1743"/>
      <c r="E1" s="1743"/>
      <c r="F1" s="1743"/>
      <c r="G1" s="1741"/>
    </row>
    <row r="2" spans="1:10" ht="16.5">
      <c r="A2" s="1744" t="s">
        <v>1353</v>
      </c>
      <c r="B2" s="1744">
        <f>SUM(C14:C23)</f>
        <v>1121.78</v>
      </c>
      <c r="C2" s="1743"/>
      <c r="D2" s="1743"/>
      <c r="E2" s="1743"/>
      <c r="F2" s="1743"/>
      <c r="G2" s="1741"/>
    </row>
    <row r="3" spans="1:10" ht="16.5">
      <c r="A3" s="1744" t="s">
        <v>1362</v>
      </c>
      <c r="B3" s="1745">
        <f>项目基本情况!D3</f>
        <v>43251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6406</v>
      </c>
      <c r="C5" s="1744">
        <f ca="1">ROUND(B5*10000/$B$1,0)</f>
        <v>25659</v>
      </c>
      <c r="D5" s="1744">
        <f ca="1">ROUND(B5*10000/$B$2,0)</f>
        <v>57106</v>
      </c>
      <c r="E5" s="1743"/>
      <c r="F5" s="1741"/>
      <c r="G5" s="1741"/>
    </row>
    <row r="6" spans="1:10" ht="16.5">
      <c r="A6" s="1744" t="s">
        <v>1356</v>
      </c>
      <c r="B6" s="1744">
        <f ca="1">SUM(G14:G23)</f>
        <v>6406</v>
      </c>
      <c r="C6" s="1744">
        <f ca="1">ROUND(B6*10000/$B$1,0)</f>
        <v>25659</v>
      </c>
      <c r="D6" s="1744">
        <f ca="1">ROUND(B6*10000/$B$2,0)</f>
        <v>57106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2496.59</v>
      </c>
      <c r="C14" s="1742">
        <f>结果表!C118</f>
        <v>1121.78</v>
      </c>
      <c r="D14" s="1742">
        <f ca="1">结果表!H118</f>
        <v>6406</v>
      </c>
      <c r="E14" s="1742">
        <f ca="1">ROUND(D14*10000/B14,0)</f>
        <v>25659</v>
      </c>
      <c r="F14" s="1742">
        <f ca="1">ROUND(D14*10000/C14,0)</f>
        <v>57106</v>
      </c>
      <c r="G14" s="1742">
        <f ca="1">结果表!D122</f>
        <v>6406</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f>D15</f>
        <v>0</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D20"/>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214" t="str">
        <f>项目基本情况!S2</f>
        <v>北京市朝阳区东三环南路76号房地产</v>
      </c>
      <c r="B2" s="3215"/>
      <c r="C2" s="3215"/>
      <c r="D2" s="3215"/>
      <c r="E2" s="3215"/>
      <c r="F2" s="3215"/>
      <c r="G2" s="3215"/>
      <c r="H2" s="3215"/>
      <c r="I2" s="3216"/>
    </row>
    <row r="3" spans="1:12" ht="12.75">
      <c r="A3" s="3217" t="s">
        <v>2118</v>
      </c>
      <c r="B3" s="3218"/>
      <c r="C3" s="3218"/>
      <c r="D3" s="3218"/>
      <c r="E3" s="3218"/>
      <c r="F3" s="3218"/>
      <c r="G3" s="3218"/>
      <c r="H3" s="3218"/>
      <c r="I3" s="3218"/>
    </row>
    <row r="4" spans="1:12" ht="14.25">
      <c r="A4" s="2426" t="s">
        <v>2119</v>
      </c>
      <c r="B4" s="2427" t="s">
        <v>2120</v>
      </c>
      <c r="C4" s="2428" t="s">
        <v>3200</v>
      </c>
      <c r="D4" s="2428" t="s">
        <v>3185</v>
      </c>
      <c r="E4" s="3198" t="s">
        <v>2121</v>
      </c>
      <c r="F4" s="3211"/>
      <c r="G4" s="3211"/>
      <c r="H4" s="3211"/>
      <c r="I4" s="3199"/>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89" t="s">
        <v>2122</v>
      </c>
      <c r="B5" s="3115">
        <v>25</v>
      </c>
      <c r="C5" s="3219"/>
      <c r="D5" s="3207"/>
      <c r="E5" s="140" t="s">
        <v>2123</v>
      </c>
      <c r="F5" s="2430"/>
      <c r="G5" s="2430"/>
      <c r="H5" s="2430"/>
      <c r="I5" s="1832"/>
    </row>
    <row r="6" spans="1:12" ht="12.75">
      <c r="A6" s="3189"/>
      <c r="B6" s="3115"/>
      <c r="C6" s="3221"/>
      <c r="D6" s="3207"/>
      <c r="E6" s="140" t="s">
        <v>2124</v>
      </c>
      <c r="F6" s="2430"/>
      <c r="G6" s="2430"/>
      <c r="H6" s="2430"/>
      <c r="I6" s="1832"/>
    </row>
    <row r="7" spans="1:12" ht="12.75">
      <c r="A7" s="3189"/>
      <c r="B7" s="3115"/>
      <c r="C7" s="3220"/>
      <c r="D7" s="3207"/>
      <c r="E7" s="140" t="s">
        <v>2125</v>
      </c>
      <c r="F7" s="2430"/>
      <c r="G7" s="2430"/>
      <c r="H7" s="2430"/>
      <c r="I7" s="1832"/>
    </row>
    <row r="8" spans="1:12" ht="12.75">
      <c r="A8" s="3189" t="s">
        <v>2126</v>
      </c>
      <c r="B8" s="3115">
        <v>15</v>
      </c>
      <c r="C8" s="3219"/>
      <c r="D8" s="3207"/>
      <c r="E8" s="140" t="s">
        <v>2127</v>
      </c>
      <c r="F8" s="2430"/>
      <c r="G8" s="2430"/>
      <c r="H8" s="2430"/>
      <c r="I8" s="1832"/>
    </row>
    <row r="9" spans="1:12" ht="12.75">
      <c r="A9" s="3189"/>
      <c r="B9" s="3115"/>
      <c r="C9" s="3220"/>
      <c r="D9" s="3207"/>
      <c r="E9" s="140" t="s">
        <v>2128</v>
      </c>
      <c r="F9" s="2430"/>
      <c r="G9" s="2430"/>
      <c r="H9" s="2430"/>
      <c r="I9" s="1832"/>
    </row>
    <row r="10" spans="1:12" ht="12.75">
      <c r="A10" s="3189" t="s">
        <v>2129</v>
      </c>
      <c r="B10" s="3115">
        <v>15</v>
      </c>
      <c r="C10" s="3219"/>
      <c r="D10" s="3207"/>
      <c r="E10" s="140" t="s">
        <v>2130</v>
      </c>
      <c r="F10" s="2430"/>
      <c r="G10" s="2430"/>
      <c r="H10" s="2430"/>
      <c r="I10" s="1832"/>
    </row>
    <row r="11" spans="1:12" ht="12.75">
      <c r="A11" s="3189"/>
      <c r="B11" s="3115"/>
      <c r="C11" s="3220"/>
      <c r="D11" s="3207"/>
      <c r="E11" s="140" t="s">
        <v>2131</v>
      </c>
      <c r="F11" s="2430"/>
      <c r="G11" s="2430"/>
      <c r="H11" s="2430"/>
      <c r="I11" s="1832"/>
    </row>
    <row r="12" spans="1:12" ht="12.75">
      <c r="A12" s="3189" t="s">
        <v>2132</v>
      </c>
      <c r="B12" s="3115">
        <v>15</v>
      </c>
      <c r="C12" s="3219"/>
      <c r="D12" s="3207"/>
      <c r="E12" s="140" t="s">
        <v>2133</v>
      </c>
      <c r="F12" s="2430"/>
      <c r="G12" s="2430"/>
      <c r="H12" s="2430"/>
      <c r="I12" s="1832"/>
    </row>
    <row r="13" spans="1:12" ht="12.75">
      <c r="A13" s="3189"/>
      <c r="B13" s="3115"/>
      <c r="C13" s="3220"/>
      <c r="D13" s="3207"/>
      <c r="E13" s="140" t="s">
        <v>2134</v>
      </c>
      <c r="F13" s="2430"/>
      <c r="G13" s="2430"/>
      <c r="H13" s="2430"/>
      <c r="I13" s="1832"/>
    </row>
    <row r="14" spans="1:12" ht="12.75">
      <c r="A14" s="3189" t="s">
        <v>2135</v>
      </c>
      <c r="B14" s="3115">
        <v>30</v>
      </c>
      <c r="C14" s="3219">
        <v>0.5</v>
      </c>
      <c r="D14" s="3207">
        <f>1-C14</f>
        <v>0.5</v>
      </c>
      <c r="E14" s="140" t="s">
        <v>2136</v>
      </c>
      <c r="F14" s="2430"/>
      <c r="G14" s="2430"/>
      <c r="H14" s="2430"/>
      <c r="I14" s="1832"/>
    </row>
    <row r="15" spans="1:12" ht="12.75">
      <c r="A15" s="3189"/>
      <c r="B15" s="3115"/>
      <c r="C15" s="3221"/>
      <c r="D15" s="3207"/>
      <c r="E15" s="140" t="s">
        <v>2137</v>
      </c>
      <c r="F15" s="2430"/>
      <c r="G15" s="2430"/>
      <c r="H15" s="2430"/>
      <c r="I15" s="1832"/>
    </row>
    <row r="16" spans="1:12" ht="12.75">
      <c r="A16" s="3189"/>
      <c r="B16" s="3115"/>
      <c r="C16" s="3220"/>
      <c r="D16" s="3207"/>
      <c r="E16" s="140" t="s">
        <v>2138</v>
      </c>
      <c r="F16" s="2430"/>
      <c r="G16" s="2430"/>
      <c r="H16" s="2430"/>
      <c r="I16" s="1832"/>
    </row>
    <row r="17" spans="1:35" ht="15">
      <c r="A17" s="2431" t="s">
        <v>2139</v>
      </c>
      <c r="B17" s="64"/>
      <c r="C17" s="141">
        <f>SUM(C5:C16)</f>
        <v>0.5</v>
      </c>
      <c r="D17" s="141">
        <f>SUM(D5:D16)</f>
        <v>0.5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SUMIF(INDIRECT("'"&amp;C4&amp;"'"&amp;"!A:A"),结果表!B19,INDIRECT("'"&amp;C4&amp;"'"&amp;"!B:B"))</f>
        <v>6716</v>
      </c>
      <c r="D19" s="144">
        <f ca="1">SUMIF(INDIRECT("'"&amp;D4&amp;"'"&amp;"!A:A"),结果表!B19,INDIRECT("'"&amp;D4&amp;"'"&amp;"!B:B"))</f>
        <v>6096</v>
      </c>
      <c r="E19" s="2435" t="s">
        <v>2146</v>
      </c>
      <c r="F19" s="2436" t="s">
        <v>2145</v>
      </c>
      <c r="G19" s="145">
        <f ca="1">ROUND(C19*$C$18+D19*$D$18,0)</f>
        <v>6406</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SUMIF(INDIRECT("'"&amp;C4&amp;"'"&amp;"!A:A"),结果表!B20,INDIRECT("'"&amp;C4&amp;"'"&amp;"!B:B"))</f>
        <v>26901</v>
      </c>
      <c r="D20" s="147">
        <f ca="1">SUMIF(INDIRECT("'"&amp;D4&amp;"'"&amp;"!A:A"),结果表!B20,INDIRECT("'"&amp;D4&amp;"'"&amp;"!B:B"))</f>
        <v>24417</v>
      </c>
      <c r="E20" s="2438"/>
      <c r="F20" s="1248" t="s">
        <v>2149</v>
      </c>
      <c r="G20" s="148">
        <f ca="1">ROUND(C20*$C$18+D20*$D$18,0)</f>
        <v>25659</v>
      </c>
      <c r="H20" s="981" t="s">
        <v>2150</v>
      </c>
      <c r="I20" s="138"/>
    </row>
    <row r="21" spans="1:35" ht="15" customHeight="1" thickBot="1">
      <c r="A21" s="1001"/>
      <c r="B21" s="2439" t="s">
        <v>2151</v>
      </c>
      <c r="C21" s="787">
        <f ca="1">ROUND(C19*10000/L19,0)</f>
        <v>59869</v>
      </c>
      <c r="D21" s="788">
        <f ca="1">ROUND(D19*10000/L19,0)</f>
        <v>54342</v>
      </c>
      <c r="E21" s="1001"/>
      <c r="F21" s="2439" t="s">
        <v>2151</v>
      </c>
      <c r="G21" s="149">
        <f ca="1">ROUND(G19*10000/L19,0)</f>
        <v>57106</v>
      </c>
      <c r="H21" s="2440" t="s">
        <v>2150</v>
      </c>
      <c r="I21" s="138"/>
    </row>
    <row r="22" spans="1:35" ht="15" thickBot="1">
      <c r="A22" s="2281" t="s">
        <v>2152</v>
      </c>
      <c r="B22" s="2441"/>
      <c r="C22" s="2442"/>
      <c r="D22" s="789">
        <f ca="1">IF(C19&lt;D19,D19/C19-1,C19/D19-1)</f>
        <v>0.10170603674540679</v>
      </c>
      <c r="E22" s="138"/>
      <c r="F22" s="138"/>
      <c r="G22" s="138"/>
      <c r="H22" s="138"/>
      <c r="I22" s="138"/>
    </row>
    <row r="23" spans="1:35" ht="13.5" thickBot="1">
      <c r="A23" s="2419"/>
      <c r="B23" s="2419"/>
      <c r="C23" s="2419"/>
      <c r="D23" s="2419"/>
      <c r="E23" s="138"/>
      <c r="F23" s="138"/>
      <c r="G23" s="138"/>
      <c r="H23" s="138"/>
      <c r="I23" s="138"/>
    </row>
    <row r="24" spans="1:35" ht="14.25">
      <c r="A24" s="3228" t="s">
        <v>2153</v>
      </c>
      <c r="B24" s="2436" t="s">
        <v>2145</v>
      </c>
      <c r="C24" s="145">
        <f>IF(B30=0,0,D30)</f>
        <v>0</v>
      </c>
      <c r="D24" s="2443"/>
      <c r="E24" s="138"/>
      <c r="F24" s="138"/>
      <c r="G24" s="138"/>
      <c r="H24" s="138"/>
      <c r="I24" s="138"/>
    </row>
    <row r="25" spans="1:35" ht="14.25">
      <c r="A25" s="3229"/>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6406</v>
      </c>
      <c r="D32" s="2450" t="s">
        <v>2160</v>
      </c>
      <c r="E32" s="138"/>
      <c r="F32" s="138"/>
      <c r="G32" s="138"/>
      <c r="H32" s="138"/>
      <c r="I32" s="138"/>
    </row>
    <row r="33" spans="1:15" ht="15">
      <c r="A33" s="958" t="s">
        <v>2161</v>
      </c>
      <c r="B33" s="2451"/>
      <c r="C33" s="2452" t="s">
        <v>3188</v>
      </c>
      <c r="D33" s="2453" t="s">
        <v>3185</v>
      </c>
      <c r="E33" s="2454" t="s">
        <v>2162</v>
      </c>
      <c r="F33" s="2455" t="str">
        <f>IF(D32="楼面单价","取值（单价）","取值（总价）")</f>
        <v>取值（总价）</v>
      </c>
      <c r="G33" s="138"/>
      <c r="H33" s="138"/>
      <c r="I33" s="138"/>
    </row>
    <row r="34" spans="1:15" ht="15">
      <c r="A34" s="2456"/>
      <c r="B34" s="2457" t="s">
        <v>2163</v>
      </c>
      <c r="C34" s="157">
        <f ca="1">IF(C33="自定义",F34,C32-C35)</f>
        <v>4612</v>
      </c>
      <c r="D34" s="1056">
        <f ca="1">IF(C33="自定义",ROUND(C34/C32,3),IF(C33="收益比率",SUMIF(INDIRECT("'"&amp;D33&amp;"'"&amp;"!b:b"),"土地收益比率",INDIRECT("'"&amp;D33&amp;"'"&amp;"!c:c")),SUMIF(INDIRECT("'"&amp;D33&amp;"'"&amp;"!b:b"),"土地成本比率",INDIRECT("'"&amp;D33&amp;"'"&amp;"!c:c"))))</f>
        <v>0.72</v>
      </c>
      <c r="E34" s="2458" t="s">
        <v>2164</v>
      </c>
      <c r="F34" s="1737"/>
      <c r="G34" s="138"/>
      <c r="H34" s="138"/>
      <c r="I34" s="138"/>
    </row>
    <row r="35" spans="1:15" ht="15.75" thickBot="1">
      <c r="A35" s="2459"/>
      <c r="B35" s="2460" t="s">
        <v>2165</v>
      </c>
      <c r="C35" s="1442">
        <f ca="1">IF(C33="自定义",F35,ROUND(C32*D35,0))</f>
        <v>1794</v>
      </c>
      <c r="D35" s="1443">
        <f ca="1">IF(C33="自定义",ROUND(C35/C32,3),IF(C33="收益比率",SUMIF(INDIRECT("'"&amp;D33&amp;"'"&amp;"!b:b"),"建筑物收益比率",INDIRECT("'"&amp;D33&amp;"'"&amp;"!c:c")),SUMIF(INDIRECT("'"&amp;D33&amp;"'"&amp;"!b:b"),"建筑物成本比率",INDIRECT("'"&amp;D33&amp;"'"&amp;"!c:c"))))</f>
        <v>0.28000000000000003</v>
      </c>
      <c r="E35" s="2461" t="s">
        <v>2166</v>
      </c>
      <c r="F35" s="163"/>
      <c r="G35" s="138"/>
      <c r="H35" s="138"/>
      <c r="I35" s="138"/>
    </row>
    <row r="36" spans="1:15" ht="15.75" thickBot="1">
      <c r="A36" s="3208" t="s">
        <v>2167</v>
      </c>
      <c r="B36" s="2462" t="s">
        <v>2168</v>
      </c>
      <c r="C36" s="154"/>
      <c r="D36" s="2463"/>
      <c r="E36" s="2464"/>
      <c r="F36" s="2465"/>
      <c r="G36" s="138"/>
      <c r="H36" s="138"/>
      <c r="I36" s="138"/>
    </row>
    <row r="37" spans="1:15" ht="15.75" thickBot="1">
      <c r="A37" s="3209"/>
      <c r="B37" s="2267" t="s">
        <v>2169</v>
      </c>
      <c r="C37" s="156"/>
      <c r="D37" s="1393"/>
      <c r="E37" s="1393"/>
      <c r="F37" s="2465"/>
      <c r="G37" s="138"/>
      <c r="H37" s="138"/>
      <c r="I37" s="138"/>
    </row>
    <row r="38" spans="1:15" ht="15.75" thickBot="1">
      <c r="A38" s="3210"/>
      <c r="B38" s="2466" t="s">
        <v>2170</v>
      </c>
      <c r="C38" s="725"/>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225" t="s">
        <v>2181</v>
      </c>
      <c r="B45" s="3226"/>
      <c r="C45" s="3227"/>
      <c r="D45" s="164">
        <f ca="1">ROUND(H101*F45,0)</f>
        <v>4100</v>
      </c>
      <c r="E45" s="165" t="s">
        <v>2182</v>
      </c>
      <c r="F45" s="166">
        <v>0.64</v>
      </c>
      <c r="G45" s="167" t="s">
        <v>2183</v>
      </c>
      <c r="H45" s="138"/>
      <c r="I45" s="138"/>
      <c r="J45" s="3144" t="s">
        <v>2184</v>
      </c>
      <c r="K45" s="3144"/>
      <c r="L45" s="3144"/>
      <c r="M45" s="3144"/>
      <c r="N45" s="3144"/>
      <c r="O45" s="3144"/>
    </row>
    <row r="46" spans="1:15" ht="14.25" customHeight="1">
      <c r="A46" s="3222" t="s">
        <v>2185</v>
      </c>
      <c r="B46" s="3223"/>
      <c r="C46" s="3223"/>
      <c r="D46" s="3223"/>
      <c r="E46" s="3223"/>
      <c r="F46" s="3223"/>
      <c r="G46" s="3224"/>
      <c r="H46" s="2481"/>
      <c r="I46" s="168"/>
      <c r="J46" s="1810">
        <v>1</v>
      </c>
      <c r="K46" s="3144" t="s">
        <v>2186</v>
      </c>
      <c r="L46" s="3144"/>
      <c r="M46" s="3145"/>
      <c r="N46" s="3145"/>
      <c r="O46" s="3145"/>
    </row>
    <row r="47" spans="1:15" ht="12" customHeight="1">
      <c r="A47" s="169" t="s">
        <v>2187</v>
      </c>
      <c r="B47" s="170"/>
      <c r="C47" s="171"/>
      <c r="D47" s="172" t="s">
        <v>2188</v>
      </c>
      <c r="E47" s="24" t="s">
        <v>2189</v>
      </c>
      <c r="F47" s="173" t="s">
        <v>2190</v>
      </c>
      <c r="G47" s="174" t="s">
        <v>2191</v>
      </c>
      <c r="H47" s="2481"/>
      <c r="I47" s="168"/>
      <c r="J47" s="1810">
        <v>2</v>
      </c>
      <c r="K47" s="3144" t="s">
        <v>2192</v>
      </c>
      <c r="L47" s="3144"/>
      <c r="M47" s="3146">
        <f>'数据-取费表'!B2</f>
        <v>43251</v>
      </c>
      <c r="N47" s="3146"/>
      <c r="O47" s="3146"/>
    </row>
    <row r="48" spans="1:15" ht="25.5">
      <c r="A48" s="3212" t="s">
        <v>2193</v>
      </c>
      <c r="B48" s="3213"/>
      <c r="C48" s="3213"/>
      <c r="D48" s="140">
        <f ca="1">IF(H48="情况1",0,IF(H48="情况2",D52,IF(H48="情况3",D53,IF(H48="情况4",D54))))</f>
        <v>219</v>
      </c>
      <c r="E48" s="1799" t="str">
        <f>IF(H48="情况4","(销售额-原购置价)×税（费）率","销售额×税（费）率")</f>
        <v>(销售额-原购置价)×税（费）率</v>
      </c>
      <c r="F48" s="175">
        <f>IF(H48="情况1","免征",'数据-取费表'!B41)</f>
        <v>5.6000000000000001E-2</v>
      </c>
      <c r="G48" s="2482" t="s">
        <v>2194</v>
      </c>
      <c r="H48" s="2483" t="s">
        <v>3189</v>
      </c>
      <c r="I48" s="2481"/>
      <c r="J48" s="1810">
        <v>3</v>
      </c>
      <c r="K48" s="3144" t="s">
        <v>2195</v>
      </c>
      <c r="L48" s="3144"/>
      <c r="M48" s="3147">
        <f ca="1">H101</f>
        <v>6406</v>
      </c>
      <c r="N48" s="3147"/>
      <c r="O48" s="3147"/>
    </row>
    <row r="49" spans="1:35" ht="25.5" customHeight="1">
      <c r="A49" s="176" t="s">
        <v>2196</v>
      </c>
      <c r="B49" s="3192" t="s">
        <v>2197</v>
      </c>
      <c r="C49" s="3192"/>
      <c r="D49" s="177">
        <v>0</v>
      </c>
      <c r="E49" s="23" t="s">
        <v>2198</v>
      </c>
      <c r="F49" s="28" t="s">
        <v>34</v>
      </c>
      <c r="G49" s="3173"/>
      <c r="H49" s="138"/>
      <c r="I49" s="2484"/>
      <c r="J49" s="1810">
        <v>4</v>
      </c>
      <c r="K49" s="3144" t="str">
        <f>IF(项目基本情况!E8="房地产抵押价值","房地产抵押价值","抵押担保权已注销时的房地产抵押价值")</f>
        <v>房地产抵押价值</v>
      </c>
      <c r="L49" s="3144"/>
      <c r="M49" s="3147">
        <f ca="1">IF(项目基本情况!E8="房地产抵押价值",H107,H109)</f>
        <v>6406</v>
      </c>
      <c r="N49" s="3147"/>
      <c r="O49" s="3147"/>
    </row>
    <row r="50" spans="1:35" ht="25.5" customHeight="1">
      <c r="A50" s="178"/>
      <c r="B50" s="3192" t="s">
        <v>2199</v>
      </c>
      <c r="C50" s="3192"/>
      <c r="D50" s="179"/>
      <c r="E50" s="31"/>
      <c r="F50" s="180"/>
      <c r="G50" s="3174"/>
      <c r="H50" s="138"/>
      <c r="I50" s="2484"/>
      <c r="J50" s="3144" t="s">
        <v>2200</v>
      </c>
      <c r="K50" s="3144"/>
      <c r="L50" s="3144"/>
      <c r="M50" s="3144"/>
      <c r="N50" s="3144"/>
      <c r="O50" s="3144"/>
    </row>
    <row r="51" spans="1:35" ht="12" customHeight="1">
      <c r="A51" s="181"/>
      <c r="B51" s="3192" t="s">
        <v>2201</v>
      </c>
      <c r="C51" s="3192"/>
      <c r="D51" s="182"/>
      <c r="E51" s="30"/>
      <c r="F51" s="180"/>
      <c r="G51" s="3175"/>
      <c r="H51" s="138"/>
      <c r="I51" s="2484"/>
      <c r="J51" s="2485" t="s">
        <v>2202</v>
      </c>
      <c r="K51" s="3144" t="s">
        <v>2203</v>
      </c>
      <c r="L51" s="3144"/>
      <c r="M51" s="2485" t="s">
        <v>2204</v>
      </c>
      <c r="N51" s="2485" t="s">
        <v>2205</v>
      </c>
      <c r="O51" s="2485" t="s">
        <v>2206</v>
      </c>
    </row>
    <row r="52" spans="1:35" ht="24" customHeight="1">
      <c r="A52" s="183" t="s">
        <v>2207</v>
      </c>
      <c r="B52" s="3192" t="s">
        <v>2208</v>
      </c>
      <c r="C52" s="3192"/>
      <c r="D52" s="182">
        <f ca="1">ROUND(D45*'数据-取费表'!B41/(1+'数据-取费表'!C42),0)</f>
        <v>219</v>
      </c>
      <c r="E52" s="11" t="s">
        <v>2209</v>
      </c>
      <c r="F52" s="184">
        <f>'数据-取费表'!B41</f>
        <v>5.6000000000000001E-2</v>
      </c>
      <c r="G52" s="2486"/>
      <c r="H52" s="138"/>
      <c r="I52" s="2484"/>
      <c r="J52" s="1810">
        <v>1</v>
      </c>
      <c r="K52" s="3167" t="s">
        <v>2210</v>
      </c>
      <c r="L52" s="3167"/>
      <c r="M52" s="1752">
        <f ca="1">D48</f>
        <v>219</v>
      </c>
      <c r="N52" s="1810" t="str">
        <f>E48</f>
        <v>(销售额-原购置价)×税（费）率</v>
      </c>
      <c r="O52" s="1753">
        <f>F48</f>
        <v>5.6000000000000001E-2</v>
      </c>
    </row>
    <row r="53" spans="1:35" ht="12" customHeight="1">
      <c r="A53" s="183" t="s">
        <v>2211</v>
      </c>
      <c r="B53" s="3193" t="s">
        <v>2212</v>
      </c>
      <c r="C53" s="3194"/>
      <c r="D53" s="182">
        <f ca="1">ROUND(D45*'数据-取费表'!B41/(1+'数据-取费表'!C42),0)</f>
        <v>219</v>
      </c>
      <c r="E53" s="11" t="s">
        <v>2209</v>
      </c>
      <c r="F53" s="184">
        <f>'数据-取费表'!B41</f>
        <v>5.6000000000000001E-2</v>
      </c>
      <c r="G53" s="2486"/>
      <c r="H53" s="138"/>
      <c r="I53" s="2484"/>
      <c r="J53" s="1810">
        <v>2</v>
      </c>
      <c r="K53" s="3167" t="s">
        <v>2213</v>
      </c>
      <c r="L53" s="3167"/>
      <c r="M53" s="1752">
        <f t="shared" ref="M53:O54" ca="1" si="0">D55</f>
        <v>2</v>
      </c>
      <c r="N53" s="1810" t="str">
        <f t="shared" si="0"/>
        <v>销售额×税（费）率</v>
      </c>
      <c r="O53" s="1753">
        <f t="shared" si="0"/>
        <v>5.0000000000000001E-4</v>
      </c>
    </row>
    <row r="54" spans="1:35" ht="12" customHeight="1">
      <c r="A54" s="183" t="s">
        <v>2214</v>
      </c>
      <c r="B54" s="3193" t="s">
        <v>2215</v>
      </c>
      <c r="C54" s="3194"/>
      <c r="D54" s="182">
        <f ca="1">C68</f>
        <v>219</v>
      </c>
      <c r="E54" s="30" t="s">
        <v>2216</v>
      </c>
      <c r="F54" s="184">
        <f>'数据-取费表'!B41</f>
        <v>5.6000000000000001E-2</v>
      </c>
      <c r="G54" s="2486"/>
      <c r="H54" s="2487"/>
      <c r="I54" s="2484"/>
      <c r="J54" s="1810">
        <v>3</v>
      </c>
      <c r="K54" s="3167" t="s">
        <v>2217</v>
      </c>
      <c r="L54" s="3167"/>
      <c r="M54" s="1752">
        <f t="shared" ca="1" si="0"/>
        <v>0</v>
      </c>
      <c r="N54" s="1810" t="str">
        <f t="shared" si="0"/>
        <v>增值额×税（费）率</v>
      </c>
      <c r="O54" s="1754" t="str">
        <f t="shared" si="0"/>
        <v>——</v>
      </c>
    </row>
    <row r="55" spans="1:35" ht="24" customHeight="1">
      <c r="A55" s="3231" t="s">
        <v>2218</v>
      </c>
      <c r="B55" s="3213"/>
      <c r="C55" s="3213"/>
      <c r="D55" s="185">
        <f ca="1">IF(H55="个人住宅",0,ROUND(D45*I55,0))</f>
        <v>2</v>
      </c>
      <c r="E55" s="11" t="s">
        <v>2219</v>
      </c>
      <c r="F55" s="184">
        <f>IF(H55="正常",I55,"免征")</f>
        <v>5.0000000000000001E-4</v>
      </c>
      <c r="G55" s="2486"/>
      <c r="H55" s="2483" t="s">
        <v>2220</v>
      </c>
      <c r="I55" s="186">
        <f>'数据-取费表'!B49</f>
        <v>5.0000000000000001E-4</v>
      </c>
      <c r="J55" s="1810" t="str">
        <f>IF(H59="非个人房产","",4)</f>
        <v/>
      </c>
      <c r="K55" s="3167" t="str">
        <f>IF(H59="非个人房产","——","个人所得税")</f>
        <v>——</v>
      </c>
      <c r="L55" s="3167"/>
      <c r="M55" s="1755" t="str">
        <f>D59</f>
        <v>——</v>
      </c>
      <c r="N55" s="1808" t="str">
        <f>E59</f>
        <v>——</v>
      </c>
      <c r="O55" s="1756" t="str">
        <f>F59</f>
        <v>——</v>
      </c>
    </row>
    <row r="56" spans="1:35" ht="24.75">
      <c r="A56" s="3231" t="s">
        <v>2221</v>
      </c>
      <c r="B56" s="3213"/>
      <c r="C56" s="3213"/>
      <c r="D56" s="185">
        <f ca="1">IF(H56="个人住宅",D57,D58)</f>
        <v>0</v>
      </c>
      <c r="E56" s="11" t="s">
        <v>2222</v>
      </c>
      <c r="F56" s="184" t="str">
        <f>IF(H56="正常",F58,"免征")</f>
        <v>——</v>
      </c>
      <c r="G56" s="2488" t="s">
        <v>2223</v>
      </c>
      <c r="H56" s="2489" t="s">
        <v>2220</v>
      </c>
      <c r="I56" s="2490"/>
      <c r="J56" s="1810" t="str">
        <f>IF(项目基本情况!K6="上海银行",IF(J55="",4,J55+1),"")</f>
        <v/>
      </c>
      <c r="K56" s="3150" t="str">
        <f>IF(项目基本情况!K6="上海银行","其他处置费用","")</f>
        <v/>
      </c>
      <c r="L56" s="3151"/>
      <c r="M56" s="1752" t="str">
        <f>IF(项目基本情况!K6="上海银行",M69,"")</f>
        <v/>
      </c>
      <c r="N56" s="3153" t="str">
        <f>IF(项目基本情况!K6="上海银行","包含处置中涉及的律师、诉讼、拍卖、评估等费用","")</f>
        <v/>
      </c>
      <c r="O56" s="3154"/>
    </row>
    <row r="57" spans="1:35" ht="12.75">
      <c r="A57" s="183" t="s">
        <v>2196</v>
      </c>
      <c r="B57" s="3198" t="s">
        <v>2224</v>
      </c>
      <c r="C57" s="3199"/>
      <c r="D57" s="187">
        <v>0</v>
      </c>
      <c r="E57" s="23" t="s">
        <v>2198</v>
      </c>
      <c r="F57" s="155"/>
      <c r="G57" s="2486"/>
      <c r="H57" s="2490"/>
      <c r="I57" s="2490"/>
      <c r="J57" s="3167">
        <f>IF(AND(J55="",J56=""),4,IF(项目基本情况!K6="上海银行",结果表!J56+1,结果表!J55+1))</f>
        <v>4</v>
      </c>
      <c r="K57" s="3167" t="s">
        <v>2225</v>
      </c>
      <c r="L57" s="2491" t="s">
        <v>2226</v>
      </c>
      <c r="M57" s="1757"/>
      <c r="N57" s="1758">
        <f ca="1">SUMIF(M52:M56,"&lt;9e307")</f>
        <v>221</v>
      </c>
      <c r="O57" s="2492"/>
      <c r="P57" s="1751">
        <f ca="1">N57/M49</f>
        <v>3.4498907274430224E-2</v>
      </c>
    </row>
    <row r="58" spans="1:35" ht="24.75">
      <c r="A58" s="183" t="s">
        <v>2207</v>
      </c>
      <c r="B58" s="3198" t="s">
        <v>2227</v>
      </c>
      <c r="C58" s="3211"/>
      <c r="D58" s="185">
        <f ca="1">IF(H58="转让取得",C81,C97)</f>
        <v>0</v>
      </c>
      <c r="E58" s="11" t="s">
        <v>2222</v>
      </c>
      <c r="F58" s="24" t="s">
        <v>34</v>
      </c>
      <c r="G58" s="2486"/>
      <c r="H58" s="2489" t="s">
        <v>3190</v>
      </c>
      <c r="I58" s="2490"/>
      <c r="J58" s="3167"/>
      <c r="K58" s="3167"/>
      <c r="L58" s="2491" t="s">
        <v>2228</v>
      </c>
      <c r="M58" s="1759"/>
      <c r="N58" s="2493" t="str">
        <f ca="1">NUMBERSTRING(INT(N57*10000),2)&amp;"元整"</f>
        <v>贰佰贰拾壹万元整</v>
      </c>
      <c r="O58" s="2494"/>
    </row>
    <row r="59" spans="1:35" ht="24.75" thickBot="1">
      <c r="A59" s="3171" t="s">
        <v>2229</v>
      </c>
      <c r="B59" s="3172"/>
      <c r="C59" s="3172"/>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69">
        <f>J57+1</f>
        <v>5</v>
      </c>
      <c r="K59" s="3167" t="s">
        <v>2231</v>
      </c>
      <c r="L59" s="1810" t="s">
        <v>2226</v>
      </c>
      <c r="M59" s="1760"/>
      <c r="N59" s="1761">
        <f ca="1">M49-N57</f>
        <v>6185</v>
      </c>
      <c r="O59" s="2496"/>
    </row>
    <row r="60" spans="1:35" ht="12" customHeight="1">
      <c r="A60" s="2497"/>
      <c r="B60" s="2419"/>
      <c r="C60" s="2419"/>
      <c r="D60" s="2419"/>
      <c r="E60" s="2166"/>
      <c r="F60" s="2490"/>
      <c r="G60" s="2490"/>
      <c r="H60" s="2498"/>
      <c r="I60" s="138"/>
      <c r="J60" s="3170"/>
      <c r="K60" s="3167"/>
      <c r="L60" s="2491" t="s">
        <v>2228</v>
      </c>
      <c r="M60" s="1759"/>
      <c r="N60" s="2493" t="str">
        <f ca="1">NUMBERSTRING(INT(N59*10000),2)&amp;"元整"</f>
        <v>陆仟壹佰捌拾伍万元整</v>
      </c>
      <c r="O60" s="2494"/>
    </row>
    <row r="61" spans="1:35" ht="13.5" thickBot="1">
      <c r="A61" s="3230" t="s">
        <v>2232</v>
      </c>
      <c r="B61" s="3230"/>
      <c r="C61" s="3230"/>
      <c r="D61" s="3230"/>
      <c r="E61" s="3230"/>
      <c r="F61" s="2490"/>
      <c r="G61" s="2490"/>
      <c r="H61" s="2498"/>
      <c r="I61" s="138"/>
      <c r="J61" s="1810">
        <f>J59+1</f>
        <v>6</v>
      </c>
      <c r="K61" s="3167" t="s">
        <v>2233</v>
      </c>
      <c r="L61" s="3167"/>
      <c r="M61" s="1762"/>
      <c r="N61" s="1763">
        <f ca="1">ROUND(N59*10000/'数据-汇总表'!E3,0)</f>
        <v>24774</v>
      </c>
      <c r="O61" s="2499"/>
    </row>
    <row r="62" spans="1:35" ht="12.75">
      <c r="A62" s="3187" t="s">
        <v>2234</v>
      </c>
      <c r="B62" s="3188"/>
      <c r="C62" s="1802"/>
      <c r="D62" s="1802" t="s">
        <v>2235</v>
      </c>
      <c r="E62" s="192" t="s">
        <v>2236</v>
      </c>
      <c r="F62" s="2490"/>
      <c r="G62" s="2490"/>
      <c r="H62" s="2498"/>
      <c r="I62" s="138"/>
    </row>
    <row r="63" spans="1:35" ht="12.75">
      <c r="A63" s="203" t="s">
        <v>775</v>
      </c>
      <c r="B63" s="193" t="s">
        <v>2237</v>
      </c>
      <c r="C63" s="194">
        <f ca="1">ROUND((C64+C65)/(1+'数据-取费表'!C42),0)</f>
        <v>3905</v>
      </c>
      <c r="D63" s="195"/>
      <c r="E63" s="196"/>
      <c r="F63" s="2490"/>
      <c r="G63" s="2490"/>
      <c r="H63" s="2498"/>
      <c r="I63" s="138"/>
      <c r="J63" s="3152" t="s">
        <v>2238</v>
      </c>
      <c r="K63" s="2500" t="s">
        <v>2239</v>
      </c>
      <c r="L63" s="1750">
        <f ca="1">IF(M49&gt;10000,M49*0.5%,IF(AND(M49&gt;1000,M49&lt;=10000),M49*1%,IF(AND(M49&gt;100,M49&lt;=1000),M49*3%,IF(AND(M49&gt;10,M49&lt;=100),M49*5%,M49*8%))))</f>
        <v>64.06</v>
      </c>
      <c r="M63" s="24">
        <f ca="1">ROUND(L63,1)</f>
        <v>64.099999999999994</v>
      </c>
      <c r="Z63" s="2424"/>
      <c r="AI63" s="2425"/>
    </row>
    <row r="64" spans="1:35" ht="14.25" customHeight="1">
      <c r="A64" s="197" t="s">
        <v>770</v>
      </c>
      <c r="B64" s="198" t="s">
        <v>2240</v>
      </c>
      <c r="C64" s="199">
        <f ca="1">D45</f>
        <v>4100</v>
      </c>
      <c r="D64" s="200" t="s">
        <v>32</v>
      </c>
      <c r="E64" s="201"/>
      <c r="F64" s="2490"/>
      <c r="G64" s="2490"/>
      <c r="H64" s="2498"/>
      <c r="I64" s="138"/>
      <c r="J64" s="3152"/>
      <c r="K64" s="2500" t="s">
        <v>2241</v>
      </c>
      <c r="L64" s="1750">
        <f ca="1">IF(M49&gt;2000,M49*0.5%,IF(AND(M49&gt;1000,M49&lt;=2000),M49*0.6%,IF(AND(M49&gt;500,M49&lt;=1000),M49*0.7%,IF(AND(M49&gt;200,M49&lt;=500),M49*0.8%,IF(AND(M49&gt;100,M49&lt;=200),M49*0.9%,IF(AND(M49&gt;50,M49&lt;=100),M49*1%,IF(AND(M49&gt;20,M49&lt;=50),M49*1.5%,IF(AND(M49&gt;10,M49&lt;=20),M49*2%,IF(AND(M49&gt;1,M49&lt;=10),M49*2.5%)))))))))</f>
        <v>32.03</v>
      </c>
      <c r="M64" s="24">
        <f t="shared" ref="M64:M65" ca="1" si="1">ROUND(L64,1)</f>
        <v>32</v>
      </c>
      <c r="N64" s="138" t="s">
        <v>2242</v>
      </c>
      <c r="Z64" s="2424"/>
      <c r="AI64" s="2425"/>
    </row>
    <row r="65" spans="1:35" ht="14.25" customHeight="1">
      <c r="A65" s="197" t="s">
        <v>771</v>
      </c>
      <c r="B65" s="198" t="s">
        <v>2243</v>
      </c>
      <c r="C65" s="202"/>
      <c r="D65" s="200"/>
      <c r="E65" s="201"/>
      <c r="F65" s="2490"/>
      <c r="G65" s="2490"/>
      <c r="H65" s="2498"/>
      <c r="I65" s="138"/>
      <c r="J65" s="3152"/>
      <c r="K65" s="2500" t="s">
        <v>2244</v>
      </c>
      <c r="L65" s="1750">
        <f ca="1">IF(M49&gt;1000,M49*0.1%,IF(AND(M49&gt;500,M49&lt;=1000),M49*0.5%,IF(AND(M49&gt;50,M49&lt;=500),M49*1%,IF(AND(M49&gt;1,M49&lt;=50),M49*1.5%))))</f>
        <v>6.4059999999999997</v>
      </c>
      <c r="M65" s="24">
        <f t="shared" ca="1" si="1"/>
        <v>6.4</v>
      </c>
      <c r="N65" s="138" t="s">
        <v>2242</v>
      </c>
      <c r="Z65" s="2424"/>
      <c r="AI65" s="2425"/>
    </row>
    <row r="66" spans="1:35" ht="14.25" customHeight="1">
      <c r="A66" s="203" t="s">
        <v>772</v>
      </c>
      <c r="B66" s="204" t="s">
        <v>2245</v>
      </c>
      <c r="C66" s="205"/>
      <c r="D66" s="206" t="s">
        <v>32</v>
      </c>
      <c r="E66" s="1774" t="s">
        <v>1371</v>
      </c>
      <c r="F66" s="2490"/>
      <c r="G66" s="2490"/>
      <c r="H66" s="2498"/>
      <c r="I66" s="138"/>
      <c r="J66" s="3152"/>
      <c r="K66" s="2500" t="s">
        <v>2246</v>
      </c>
      <c r="L66" s="1750">
        <f ca="1">M49*0.5%</f>
        <v>32.03</v>
      </c>
      <c r="M66" s="24">
        <f ca="1">IF(L66&gt;0.5,0.5,ROUND(L66,0))</f>
        <v>0.5</v>
      </c>
      <c r="N66" s="138" t="s">
        <v>2247</v>
      </c>
      <c r="Z66" s="2424"/>
      <c r="AI66" s="2425"/>
    </row>
    <row r="67" spans="1:35" ht="14.25" customHeight="1">
      <c r="A67" s="203" t="s">
        <v>773</v>
      </c>
      <c r="B67" s="204" t="s">
        <v>2248</v>
      </c>
      <c r="C67" s="207">
        <f ca="1">C63-C66</f>
        <v>3905</v>
      </c>
      <c r="D67" s="200" t="s">
        <v>32</v>
      </c>
      <c r="E67" s="201"/>
      <c r="F67" s="2490"/>
      <c r="G67" s="2490"/>
      <c r="H67" s="2498"/>
      <c r="I67" s="138"/>
      <c r="J67" s="3152"/>
      <c r="K67" s="2500" t="s">
        <v>2249</v>
      </c>
      <c r="L67" s="1750">
        <f ca="1">IF(M49&gt;=10000,(8.25+(M49-10000)*0.01%),IF(AND(M49&gt;=8000,M49&lt;10000),(7.85+(M49-8000)*0.02%),IF(AND(M49&gt;=5000,M49&lt;8000),(6.65+(M49-5000)*0.04%),IF(AND(M49&gt;=2000,M49&lt;5000),(4.25+(PM49-2000)*0.08%),IF(AND(M49&gt;=1000,M49&lt;2000),(2.75+(M49-1000)*0.15%),IF(AND(M49&gt;=100,M49&lt;1000),(0.5+(M49-100)*0.25%),IF(AND(M49&gt;0,M49&lt;100),M49*0.5%)))))))</f>
        <v>7.2124000000000006</v>
      </c>
      <c r="M67" s="24">
        <f ca="1">ROUND(L67*0.9,1)</f>
        <v>6.5</v>
      </c>
      <c r="Z67" s="2424"/>
      <c r="AI67" s="2425"/>
    </row>
    <row r="68" spans="1:35" ht="14.25" customHeight="1" thickBot="1">
      <c r="A68" s="208" t="s">
        <v>774</v>
      </c>
      <c r="B68" s="209" t="s">
        <v>2250</v>
      </c>
      <c r="C68" s="210">
        <f ca="1">IF(C67&lt;=0,0,ROUND(C67*D68,0))</f>
        <v>219</v>
      </c>
      <c r="D68" s="211">
        <f>'数据-取费表'!B41</f>
        <v>5.6000000000000001E-2</v>
      </c>
      <c r="E68" s="212"/>
      <c r="F68" s="2490"/>
      <c r="G68" s="2490"/>
      <c r="H68" s="2498"/>
      <c r="I68" s="138"/>
      <c r="J68" s="3152"/>
      <c r="K68" s="2500" t="s">
        <v>2251</v>
      </c>
      <c r="L68" s="1750">
        <f ca="1">IF(M49&gt;10000,M49*0.5%,IF(AND(M49&gt;5000,M49&lt;=10000),M49*1%,IF(AND(M49&gt;1000,M49&lt;=5000),M49*2%,IF(AND(M49&gt;200,M49&lt;=1000),M49*3%,M49*5%))))</f>
        <v>64.06</v>
      </c>
      <c r="M68" s="24">
        <f ca="1">ROUND(L68,1)</f>
        <v>64.099999999999994</v>
      </c>
      <c r="Z68" s="2424"/>
      <c r="AI68" s="2425"/>
    </row>
    <row r="69" spans="1:35" s="2447" customFormat="1" ht="16.5" customHeight="1">
      <c r="A69" s="2501"/>
      <c r="B69" s="2502"/>
      <c r="C69" s="2503"/>
      <c r="D69" s="2504"/>
      <c r="E69" s="2505"/>
      <c r="F69" s="2166"/>
      <c r="G69" s="2166"/>
      <c r="H69" s="2165"/>
      <c r="I69" s="2419"/>
      <c r="J69" s="3152"/>
      <c r="K69" s="2500" t="s">
        <v>2252</v>
      </c>
      <c r="L69" s="2506"/>
      <c r="M69" s="24">
        <f ca="1">ROUND(SUM(M63:M68),0)</f>
        <v>174</v>
      </c>
      <c r="N69" s="1751">
        <f ca="1">M69/M49</f>
        <v>2.7162035591632844E-2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96" t="s">
        <v>2253</v>
      </c>
      <c r="B70" s="3197"/>
      <c r="C70" s="3197"/>
      <c r="D70" s="3197"/>
      <c r="E70" s="3197"/>
      <c r="F70" s="3197"/>
      <c r="G70" s="3197"/>
      <c r="H70" s="31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87" t="s">
        <v>2234</v>
      </c>
      <c r="B71" s="3188"/>
      <c r="C71" s="1802"/>
      <c r="D71" s="1802"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3905</v>
      </c>
      <c r="D72" s="200" t="s">
        <v>32</v>
      </c>
      <c r="E72" s="1801"/>
      <c r="F72" s="1795"/>
      <c r="G72" s="179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7845</v>
      </c>
      <c r="D73" s="200" t="s">
        <v>32</v>
      </c>
      <c r="E73" s="1801"/>
      <c r="F73" s="1795"/>
      <c r="G73" s="179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1801"/>
      <c r="F74" s="1795"/>
      <c r="G74" s="179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3192</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93" t="s">
        <v>2261</v>
      </c>
      <c r="F76" s="3192"/>
      <c r="G76" s="3192"/>
      <c r="H76" s="31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15" t="s">
        <v>2263</v>
      </c>
      <c r="F77" s="224"/>
      <c r="G77" s="2514" t="s">
        <v>3191</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23</v>
      </c>
      <c r="D78" s="226">
        <f>'数据-取费表'!B43</f>
        <v>6.000000000000001E-3</v>
      </c>
      <c r="E78" s="3184" t="s">
        <v>2265</v>
      </c>
      <c r="F78" s="3185"/>
      <c r="G78" s="3185"/>
      <c r="H78" s="31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-3940</v>
      </c>
      <c r="D79" s="200" t="s">
        <v>32</v>
      </c>
      <c r="E79" s="1801"/>
      <c r="F79" s="1795"/>
      <c r="G79" s="179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5"/>
      <c r="G80" s="179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96" t="s">
        <v>2269</v>
      </c>
      <c r="B83" s="3197"/>
      <c r="C83" s="3197"/>
      <c r="D83" s="3197"/>
      <c r="E83" s="3197"/>
      <c r="F83" s="3197"/>
      <c r="G83" s="3197"/>
      <c r="H83" s="31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87" t="s">
        <v>2234</v>
      </c>
      <c r="B84" s="3188"/>
      <c r="C84" s="1802"/>
      <c r="D84" s="1802"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3905</v>
      </c>
      <c r="D85" s="200" t="s">
        <v>32</v>
      </c>
      <c r="E85" s="1801"/>
      <c r="F85" s="1795"/>
      <c r="G85" s="179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23</v>
      </c>
      <c r="D86" s="235"/>
      <c r="E86" s="1801"/>
      <c r="F86" s="1795"/>
      <c r="G86" s="179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798"/>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84" t="s">
        <v>2278</v>
      </c>
      <c r="F91" s="3185"/>
      <c r="G91" s="3185"/>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84" t="s">
        <v>2282</v>
      </c>
      <c r="F92" s="3185"/>
      <c r="G92" s="3185"/>
      <c r="H92" s="31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23</v>
      </c>
      <c r="D93" s="226">
        <f>'数据-取费表'!B43</f>
        <v>6.000000000000001E-3</v>
      </c>
      <c r="E93" s="3184" t="s">
        <v>2265</v>
      </c>
      <c r="F93" s="3185"/>
      <c r="G93" s="3185"/>
      <c r="H93" s="31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32" t="s">
        <v>2286</v>
      </c>
      <c r="F94" s="3233"/>
      <c r="G94" s="3233"/>
      <c r="H94" s="32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3882</v>
      </c>
      <c r="D95" s="200" t="s">
        <v>32</v>
      </c>
      <c r="E95" s="1801"/>
      <c r="F95" s="1795"/>
      <c r="G95" s="179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168.78260869565219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36" t="s">
        <v>2288</v>
      </c>
      <c r="B100" s="3137"/>
      <c r="C100" s="3137"/>
      <c r="D100" s="3168"/>
      <c r="E100" s="3137" t="s">
        <v>2289</v>
      </c>
      <c r="F100" s="3137"/>
      <c r="G100" s="3137"/>
      <c r="H100" s="3168"/>
      <c r="I100" s="138"/>
    </row>
    <row r="101" spans="1:35" ht="18.75" customHeight="1">
      <c r="A101" s="3176" t="s">
        <v>2290</v>
      </c>
      <c r="B101" s="3177"/>
      <c r="C101" s="734" t="str">
        <f>C4</f>
        <v>典型户型修正</v>
      </c>
      <c r="D101" s="735" t="str">
        <f>D4</f>
        <v>收益法未出租</v>
      </c>
      <c r="E101" s="3148" t="s">
        <v>2291</v>
      </c>
      <c r="F101" s="3149"/>
      <c r="G101" s="2521" t="s">
        <v>2292</v>
      </c>
      <c r="H101" s="1046">
        <f ca="1">H118</f>
        <v>6406</v>
      </c>
      <c r="I101" s="138"/>
    </row>
    <row r="102" spans="1:35" ht="18.75" customHeight="1">
      <c r="A102" s="3178" t="s">
        <v>2293</v>
      </c>
      <c r="B102" s="2521" t="s">
        <v>2292</v>
      </c>
      <c r="C102" s="734">
        <f ca="1">C19</f>
        <v>6716</v>
      </c>
      <c r="D102" s="735">
        <f ca="1">D19</f>
        <v>6096</v>
      </c>
      <c r="E102" s="3148"/>
      <c r="F102" s="3149"/>
      <c r="G102" s="2521" t="s">
        <v>2294</v>
      </c>
      <c r="H102" s="371">
        <f ca="1">I118</f>
        <v>25659</v>
      </c>
      <c r="I102" s="138"/>
    </row>
    <row r="103" spans="1:35" ht="42.75" customHeight="1">
      <c r="A103" s="3178"/>
      <c r="B103" s="2521" t="s">
        <v>2294</v>
      </c>
      <c r="C103" s="736">
        <f ca="1">C20</f>
        <v>26901</v>
      </c>
      <c r="D103" s="737">
        <f ca="1">D20</f>
        <v>24417</v>
      </c>
      <c r="E103" s="3142" t="s">
        <v>2295</v>
      </c>
      <c r="F103" s="3143"/>
      <c r="G103" s="2522" t="s">
        <v>2296</v>
      </c>
      <c r="H103" s="1046">
        <f>IF(D36="正常操作",H104+H105+H106,H105+H106)</f>
        <v>0</v>
      </c>
      <c r="I103" s="138"/>
    </row>
    <row r="104" spans="1:35" ht="18.75" customHeight="1">
      <c r="A104" s="3178" t="s">
        <v>2297</v>
      </c>
      <c r="B104" s="2523" t="s">
        <v>2292</v>
      </c>
      <c r="C104" s="738">
        <f ca="1">H118</f>
        <v>6406</v>
      </c>
      <c r="D104" s="739"/>
      <c r="E104" s="2267" t="s">
        <v>2298</v>
      </c>
      <c r="F104" s="2258"/>
      <c r="G104" s="2522" t="s">
        <v>2296</v>
      </c>
      <c r="H104" s="1047">
        <f>IF(D36="同一抵押权人同一抵押物续贷",C36&amp;"（未扣减，详见特别提示）",C36)</f>
        <v>0</v>
      </c>
      <c r="I104" s="138"/>
    </row>
    <row r="105" spans="1:35" ht="18.75" customHeight="1" thickBot="1">
      <c r="A105" s="3190"/>
      <c r="B105" s="2524" t="s">
        <v>2294</v>
      </c>
      <c r="C105" s="740">
        <f ca="1">I118</f>
        <v>25659</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79" t="str">
        <f>IF(项目基本情况!E8="已注销","——","3.房地产抵押价值")</f>
        <v>3.房地产抵押价值</v>
      </c>
      <c r="F107" s="3149"/>
      <c r="G107" s="2521" t="s">
        <v>2292</v>
      </c>
      <c r="H107" s="1046">
        <f ca="1">IF(E107="——","——",H101-H103)</f>
        <v>6406</v>
      </c>
      <c r="I107" s="138"/>
    </row>
    <row r="108" spans="1:35" ht="18.75" customHeight="1">
      <c r="A108" s="138"/>
      <c r="B108" s="138"/>
      <c r="C108" s="138"/>
      <c r="D108" s="138"/>
      <c r="E108" s="3179"/>
      <c r="F108" s="3149"/>
      <c r="G108" s="2521" t="s">
        <v>2294</v>
      </c>
      <c r="H108" s="371">
        <f ca="1">ROUND(H107*10000/'数据-汇总表'!E3,0)</f>
        <v>25659</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9"/>
      <c r="G109" s="2521" t="s">
        <v>2292</v>
      </c>
      <c r="H109" s="348" t="str">
        <f>IF(E109="——","——",H101-H105-H106)</f>
        <v>——</v>
      </c>
      <c r="I109" s="138"/>
    </row>
    <row r="110" spans="1:35" ht="18.75" customHeight="1">
      <c r="A110" s="138"/>
      <c r="B110" s="138"/>
      <c r="C110" s="138"/>
      <c r="D110" s="138"/>
      <c r="E110" s="3179"/>
      <c r="F110" s="3149"/>
      <c r="G110" s="2521" t="s">
        <v>2294</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2292</v>
      </c>
      <c r="H111" s="1046" t="str">
        <f>IF(E111="——","——",N59)</f>
        <v>——</v>
      </c>
      <c r="I111" s="138"/>
    </row>
    <row r="112" spans="1:35" ht="18.75" customHeight="1" thickBot="1">
      <c r="A112" s="138"/>
      <c r="B112" s="138"/>
      <c r="C112" s="138"/>
      <c r="D112" s="138"/>
      <c r="E112" s="3182"/>
      <c r="F112" s="3183"/>
      <c r="G112" s="2526" t="s">
        <v>2294</v>
      </c>
      <c r="H112" s="788" t="str">
        <f>IF(E111="——","——",N61)</f>
        <v>——</v>
      </c>
      <c r="I112" s="138"/>
    </row>
    <row r="113" spans="1:11" ht="18.75" customHeight="1">
      <c r="A113" s="138"/>
      <c r="B113" s="138"/>
      <c r="C113" s="138"/>
      <c r="D113" s="138"/>
      <c r="E113" s="3191" t="s">
        <v>2300</v>
      </c>
      <c r="F113" s="3191"/>
      <c r="G113" s="3191"/>
      <c r="H113" s="3191"/>
      <c r="I113" s="138"/>
    </row>
    <row r="114" spans="1:11" ht="3.75" customHeight="1">
      <c r="A114" s="2419"/>
      <c r="B114" s="2419"/>
      <c r="C114" s="2419"/>
      <c r="D114" s="2419"/>
      <c r="E114" s="2497"/>
      <c r="F114" s="2497"/>
      <c r="G114" s="2497"/>
      <c r="H114" s="2497"/>
      <c r="I114" s="2419"/>
    </row>
    <row r="115" spans="1:11" ht="18.75" customHeight="1">
      <c r="A115" s="3204" t="s">
        <v>2302</v>
      </c>
      <c r="B115" s="3205"/>
      <c r="C115" s="3205"/>
      <c r="D115" s="3205"/>
      <c r="E115" s="3205"/>
      <c r="F115" s="3205"/>
      <c r="G115" s="3205"/>
      <c r="H115" s="3205"/>
      <c r="I115" s="3206"/>
    </row>
    <row r="116" spans="1:11" ht="27" customHeight="1">
      <c r="A116" s="3115" t="s">
        <v>2303</v>
      </c>
      <c r="B116" s="3158" t="s">
        <v>2304</v>
      </c>
      <c r="C116" s="3158" t="s">
        <v>2305</v>
      </c>
      <c r="D116" s="3164" t="s">
        <v>2306</v>
      </c>
      <c r="E116" s="3165"/>
      <c r="F116" s="3200" t="s">
        <v>2307</v>
      </c>
      <c r="G116" s="3200"/>
      <c r="H116" s="3115" t="s">
        <v>2308</v>
      </c>
      <c r="I116" s="3115"/>
    </row>
    <row r="117" spans="1:11" ht="18.75" customHeight="1">
      <c r="A117" s="3115"/>
      <c r="B117" s="3159"/>
      <c r="C117" s="3159"/>
      <c r="D117" s="1796" t="s">
        <v>2309</v>
      </c>
      <c r="E117" s="1796" t="s">
        <v>2310</v>
      </c>
      <c r="F117" s="1796" t="s">
        <v>2309</v>
      </c>
      <c r="G117" s="1796" t="s">
        <v>2311</v>
      </c>
      <c r="H117" s="1796" t="s">
        <v>2309</v>
      </c>
      <c r="I117" s="1796" t="s">
        <v>2311</v>
      </c>
    </row>
    <row r="118" spans="1:11" ht="24.75" customHeight="1">
      <c r="A118" s="2527" t="str">
        <f>项目基本情况!S2</f>
        <v>北京市朝阳区东三环南路76号房地产</v>
      </c>
      <c r="B118" s="1796">
        <f>M18</f>
        <v>2496.59</v>
      </c>
      <c r="C118" s="1796">
        <f>M19</f>
        <v>1121.78</v>
      </c>
      <c r="D118" s="1796">
        <f ca="1">ROUND(IF(D32="总价",C34,E118*B118/10000),0)</f>
        <v>4612</v>
      </c>
      <c r="E118" s="1796">
        <f ca="1">ROUND(IF(C33="自定义",IF(D32="楼面单价",C34,D118*10000/B118),I118-G118),0)</f>
        <v>18473</v>
      </c>
      <c r="F118" s="1796">
        <f ca="1">ROUND(IF(D32="总价",C35,G118*B118/10000),0)</f>
        <v>1794</v>
      </c>
      <c r="G118" s="1796">
        <f ca="1">ROUND(IF(D32="楼面单价",C35,F118*10000/B118),0)</f>
        <v>7186</v>
      </c>
      <c r="H118" s="1796">
        <f ca="1">ROUND(IF(D32="总价",C32,I118*B118/10000),0)</f>
        <v>6406</v>
      </c>
      <c r="I118" s="1796">
        <f ca="1">ROUND(IF(D32="楼面单价",C32,H118*10000/B118),0)</f>
        <v>25659</v>
      </c>
    </row>
    <row r="119" spans="1:11" ht="18.75" customHeight="1">
      <c r="A119" s="3115" t="s">
        <v>2312</v>
      </c>
      <c r="B119" s="3115"/>
      <c r="C119" s="3115"/>
      <c r="D119" s="3160" t="str">
        <f ca="1">NUMBERSTRING(INT(D118*10000),2)&amp;"元整"</f>
        <v>肆仟陆佰壹拾贰万元整</v>
      </c>
      <c r="E119" s="3161"/>
      <c r="F119" s="3160" t="str">
        <f ca="1">NUMBERSTRING(INT(F118*10000),2)&amp;"元整"</f>
        <v>壹仟柒佰玖拾肆万元整</v>
      </c>
      <c r="G119" s="3161"/>
      <c r="H119" s="3160" t="str">
        <f ca="1">NUMBERSTRING(INT(H118*10000),2)&amp;"元整"</f>
        <v>陆仟肆佰零陆万元整</v>
      </c>
      <c r="I119" s="3161"/>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4" t="str">
        <f>IF(D120=0,"故，本次评估不存在"&amp;A120,"故，本次评估"&amp;A120&amp;"为人民币"&amp;D120&amp;"万元整。")</f>
        <v>故，本次评估不存在估价师知悉的法定优先受偿款</v>
      </c>
    </row>
    <row r="121" spans="1:11" ht="18.75" customHeight="1">
      <c r="A121" s="3201" t="s">
        <v>2312</v>
      </c>
      <c r="B121" s="3202"/>
      <c r="C121" s="3203"/>
      <c r="D121" s="3160" t="str">
        <f>IF(D120=0,"零元整",NUMBERSTRING(INT(D120*10000),2)&amp;"元整")</f>
        <v>零元整</v>
      </c>
      <c r="E121" s="3162"/>
      <c r="F121" s="3162"/>
      <c r="G121" s="3162"/>
      <c r="H121" s="3162"/>
      <c r="I121" s="3161"/>
    </row>
    <row r="122" spans="1:11" ht="18.75" customHeight="1">
      <c r="A122" s="3166" t="str">
        <f>IF(项目基本情况!B9="房地产市场价值","",MID(E107,3,LEN(E107)-2))</f>
        <v>房地产抵押价值</v>
      </c>
      <c r="B122" s="3166"/>
      <c r="C122" s="3166"/>
      <c r="D122" s="3155">
        <f ca="1">H107</f>
        <v>6406</v>
      </c>
      <c r="E122" s="3156"/>
      <c r="F122" s="3156"/>
      <c r="G122" s="3156"/>
      <c r="H122" s="3156"/>
      <c r="I122" s="3157"/>
    </row>
    <row r="123" spans="1:11" ht="18.75" customHeight="1">
      <c r="A123" s="3115" t="s">
        <v>2312</v>
      </c>
      <c r="B123" s="3115"/>
      <c r="C123" s="3115"/>
      <c r="D123" s="3160" t="str">
        <f ca="1">NUMBERSTRING(INT(D122*10000),2)&amp;"元整"</f>
        <v>陆仟肆佰零陆万元整</v>
      </c>
      <c r="E123" s="3162"/>
      <c r="F123" s="3162"/>
      <c r="G123" s="3162"/>
      <c r="H123" s="3162"/>
      <c r="I123" s="3161"/>
    </row>
    <row r="124" spans="1:11" ht="18.75" customHeight="1">
      <c r="A124" s="3166" t="str">
        <f>IF(项目基本情况!B9="房地产市场价值","",MID(E109,3,LEN(E109)-2))</f>
        <v/>
      </c>
      <c r="B124" s="3166"/>
      <c r="C124" s="3166"/>
      <c r="D124" s="3155" t="str">
        <f>H109</f>
        <v>——</v>
      </c>
      <c r="E124" s="3156"/>
      <c r="F124" s="3156"/>
      <c r="G124" s="3156"/>
      <c r="H124" s="3156"/>
      <c r="I124" s="3157"/>
    </row>
    <row r="125" spans="1:11" ht="18.75" customHeight="1">
      <c r="A125" s="3115" t="s">
        <v>2312</v>
      </c>
      <c r="B125" s="3115"/>
      <c r="C125" s="3115"/>
      <c r="D125" s="3160" t="e">
        <f>NUMBERSTRING(INT(D124*10000),2)&amp;"元整"</f>
        <v>#VALUE!</v>
      </c>
      <c r="E125" s="3162"/>
      <c r="F125" s="3162"/>
      <c r="G125" s="3162"/>
      <c r="H125" s="3162"/>
      <c r="I125" s="3161"/>
    </row>
    <row r="126" spans="1:11" ht="18.75" customHeight="1">
      <c r="A126" s="3166" t="str">
        <f>IF(项目基本情况!B9="房地产市场价值","",MID(E111,3,LEN(E111)-2))</f>
        <v/>
      </c>
      <c r="B126" s="3166"/>
      <c r="C126" s="3166"/>
      <c r="D126" s="3155" t="str">
        <f>H111</f>
        <v>——</v>
      </c>
      <c r="E126" s="3156"/>
      <c r="F126" s="3156"/>
      <c r="G126" s="3156"/>
      <c r="H126" s="3156"/>
      <c r="I126" s="3157"/>
    </row>
    <row r="127" spans="1:11" ht="18.75" customHeight="1">
      <c r="A127" s="3115" t="s">
        <v>2312</v>
      </c>
      <c r="B127" s="3115"/>
      <c r="C127" s="3115"/>
      <c r="D127" s="3160" t="e">
        <f>NUMBERSTRING(INT(D126*10000),2)&amp;"元整"</f>
        <v>#VALUE!</v>
      </c>
      <c r="E127" s="3162"/>
      <c r="F127" s="3162"/>
      <c r="G127" s="3162"/>
      <c r="H127" s="3162"/>
      <c r="I127" s="3161"/>
    </row>
    <row r="128" spans="1:11" ht="21.75" customHeight="1">
      <c r="A128" s="3163" t="s">
        <v>2313</v>
      </c>
      <c r="B128" s="3163"/>
      <c r="C128" s="3163"/>
      <c r="D128" s="3163"/>
      <c r="E128" s="3163"/>
      <c r="F128" s="3163"/>
      <c r="G128" s="3163"/>
      <c r="H128" s="3163"/>
      <c r="I128" s="3163"/>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7</v>
      </c>
    </row>
    <row r="2" spans="1:9" s="244" customFormat="1" ht="18" customHeight="1">
      <c r="A2" s="245" t="s">
        <v>2322</v>
      </c>
      <c r="B2" s="246">
        <f ca="1">IF(D2="——",C52,C52-E2)</f>
        <v>1031</v>
      </c>
      <c r="C2" s="243" t="s">
        <v>2323</v>
      </c>
      <c r="D2" s="2550" t="s">
        <v>70</v>
      </c>
      <c r="E2" s="1441"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4130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0" t="s">
        <v>2332</v>
      </c>
      <c r="B6" s="259" t="s">
        <v>2333</v>
      </c>
      <c r="C6" s="260"/>
      <c r="D6" s="261"/>
      <c r="E6" s="262"/>
      <c r="F6" s="262"/>
      <c r="G6" s="263"/>
    </row>
    <row r="7" spans="1:9" s="258" customFormat="1" ht="13.5" customHeight="1">
      <c r="A7" s="950" t="s">
        <v>2334</v>
      </c>
      <c r="B7" s="259" t="s">
        <v>2335</v>
      </c>
      <c r="C7" s="264">
        <f>ROUND(C6*F7,0)</f>
        <v>0</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0</v>
      </c>
      <c r="D8" s="266"/>
      <c r="E8" s="264"/>
      <c r="F8" s="265"/>
      <c r="G8" s="2553"/>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160</v>
      </c>
      <c r="F9" s="265"/>
      <c r="G9" s="2554"/>
      <c r="H9" s="1391"/>
      <c r="I9" s="2555" t="s">
        <v>2339</v>
      </c>
    </row>
    <row r="10" spans="1:9" s="258" customFormat="1" ht="13.5" customHeight="1">
      <c r="A10" s="951" t="s">
        <v>801</v>
      </c>
      <c r="B10" s="268" t="s">
        <v>2340</v>
      </c>
      <c r="C10" s="269">
        <f ca="1">ROUND(D10*E10/10000,0)</f>
        <v>50</v>
      </c>
      <c r="D10" s="1033">
        <f ca="1">IF(B1="",'数据-汇总表'!E6,IF(INDIRECT("'数据-取费表'!c"&amp;$G$1)="住宅",INDIRECT("'数据-取费表'!s"&amp;$G$1),INDIRECT("'数据-取费表'!k"&amp;$G$1)+INDIRECT("'数据-取费表'!s"&amp;$G$1)))</f>
        <v>2496.59</v>
      </c>
      <c r="E10" s="269">
        <f>'数据-取费表'!B28</f>
        <v>200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f ca="1">IF(G19="已包含在土地取得成本中","0",ROUND(D19*E19/10000,0))</f>
        <v>50</v>
      </c>
      <c r="D19" s="1037">
        <f ca="1">D9+D10</f>
        <v>2496.59</v>
      </c>
      <c r="E19" s="255">
        <f>'数据-取费表'!B31</f>
        <v>200</v>
      </c>
      <c r="F19" s="275"/>
      <c r="G19" s="2553"/>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2</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2" t="s">
        <v>2362</v>
      </c>
      <c r="B23" s="259" t="s">
        <v>2363</v>
      </c>
      <c r="C23" s="1356">
        <f ca="1">ROUND(IF('数据-取费表'!B22&lt;=1,C5*F22*'数据-取费表'!B23,C5*(POWER((1+F22),'数据-取费表'!B23)-1)),0)</f>
        <v>0</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2</v>
      </c>
      <c r="D24" s="282"/>
      <c r="E24" s="282"/>
      <c r="F24" s="283"/>
      <c r="G24" s="284" t="s">
        <v>2367</v>
      </c>
    </row>
    <row r="25" spans="1:7" s="258" customFormat="1" ht="24">
      <c r="A25" s="952" t="s">
        <v>2368</v>
      </c>
      <c r="B25" s="259" t="s">
        <v>2369</v>
      </c>
      <c r="C25" s="1356">
        <f ca="1">ROUND(IF('数据-取费表'!B22&lt;=1,C20*F22*'数据-取费表'!B23/2,C20*(POWER((1+F22),'数据-取费表'!B23/2)-1)),0)</f>
        <v>0</v>
      </c>
      <c r="D25" s="282"/>
      <c r="E25" s="285"/>
      <c r="F25" s="283"/>
      <c r="G25" s="286" t="s">
        <v>2370</v>
      </c>
    </row>
    <row r="26" spans="1:7" s="258" customFormat="1">
      <c r="A26" s="952"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13</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ROUND((C5+C19+C20)*F27*'数据-取费表'!B21/'数据-取费表'!B20,0)</f>
        <v>13</v>
      </c>
      <c r="D28" s="279"/>
      <c r="E28" s="280"/>
      <c r="F28" s="290"/>
      <c r="G28" s="291"/>
    </row>
    <row r="29" spans="1:7" s="258" customFormat="1" ht="13.5" customHeight="1">
      <c r="A29" s="952"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72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885</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799</v>
      </c>
      <c r="D34" s="261"/>
      <c r="E34" s="264"/>
      <c r="F34" s="301">
        <f ca="1">IF('数据-取费表'!B24=0,1,IF(B1="",'数据-取费表'!N16,INDIRECT("'数据-取费表'!n"&amp;$G$1)))</f>
        <v>1</v>
      </c>
      <c r="G34" s="263" t="s">
        <v>2386</v>
      </c>
    </row>
    <row r="35" spans="1:7" ht="13.5" customHeight="1">
      <c r="A35" s="952" t="s">
        <v>796</v>
      </c>
      <c r="B35" s="259" t="s">
        <v>2387</v>
      </c>
      <c r="C35" s="264">
        <f ca="1">ROUND(C34*F35,0)</f>
        <v>24</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2390</v>
      </c>
    </row>
    <row r="37" spans="1:7" s="302" customFormat="1" ht="13.5" customHeight="1">
      <c r="A37" s="952" t="s">
        <v>798</v>
      </c>
      <c r="B37" s="259" t="s">
        <v>2391</v>
      </c>
      <c r="C37" s="293">
        <f ca="1">ROUND(E37*D37*F34/10000,0)</f>
        <v>50</v>
      </c>
      <c r="D37" s="261">
        <f ca="1">D19</f>
        <v>2496.59</v>
      </c>
      <c r="E37" s="293">
        <f>'数据-取费表'!B35</f>
        <v>200</v>
      </c>
      <c r="F37" s="303"/>
      <c r="G37" s="305" t="s">
        <v>2392</v>
      </c>
    </row>
    <row r="38" spans="1:7" ht="13.5" customHeight="1">
      <c r="A38" s="952" t="s">
        <v>799</v>
      </c>
      <c r="B38" s="259" t="s">
        <v>2393</v>
      </c>
      <c r="C38" s="264">
        <f ca="1">ROUND(C34*F38,0)</f>
        <v>12</v>
      </c>
      <c r="D38" s="264"/>
      <c r="E38" s="264"/>
      <c r="F38" s="303">
        <f>'数据-取费表'!B36</f>
        <v>1.4999999999999999E-2</v>
      </c>
      <c r="G38" s="263" t="s">
        <v>2388</v>
      </c>
    </row>
    <row r="39" spans="1:7" s="258" customFormat="1" ht="13.5" customHeight="1">
      <c r="A39" s="299" t="s">
        <v>2394</v>
      </c>
      <c r="B39" s="254" t="s">
        <v>2395</v>
      </c>
      <c r="C39" s="276">
        <f ca="1">ROUND(C33*F20,0)</f>
        <v>18</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19</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ROUND(IF('数据-取费表'!B22&lt;=1,C33*F22*'数据-取费表'!B21/2,C33*(POWER((1+F22),'数据-取费表'!B21/2)-1)),0)</f>
        <v>19</v>
      </c>
      <c r="D42" s="282"/>
      <c r="E42" s="282"/>
      <c r="F42" s="283"/>
      <c r="G42" s="3235" t="s">
        <v>2404</v>
      </c>
    </row>
    <row r="43" spans="1:7" ht="13.5" customHeight="1">
      <c r="A43" s="952" t="s">
        <v>792</v>
      </c>
      <c r="B43" s="259" t="s">
        <v>2405</v>
      </c>
      <c r="C43" s="282">
        <f ca="1">ROUND(IF('数据-取费表'!B22&lt;=1,C39*F22*'数据-取费表'!B21/2,C39*(POWER((1+F22),'数据-取费表'!B21/2)-1)),0)</f>
        <v>0</v>
      </c>
      <c r="D43" s="282"/>
      <c r="E43" s="282"/>
      <c r="F43" s="283"/>
      <c r="G43" s="3236"/>
    </row>
    <row r="44" spans="1:7" ht="13.5" customHeight="1">
      <c r="A44" s="952" t="s">
        <v>793</v>
      </c>
      <c r="B44" s="259" t="s">
        <v>2406</v>
      </c>
      <c r="C44" s="282">
        <f ca="1">ROUND(IF('数据-取费表'!B22&lt;=1,C40*F22*'数据-取费表'!B21/2,C40*(POWER((1+F22),'数据-取费表'!B21/2)-1)),4)</f>
        <v>4.0000000000000002E-4</v>
      </c>
      <c r="D44" s="282"/>
      <c r="E44" s="282"/>
      <c r="F44" s="283"/>
      <c r="G44" s="3237"/>
    </row>
    <row r="45" spans="1:7" s="258" customFormat="1" ht="13.5" customHeight="1">
      <c r="A45" s="299" t="s">
        <v>2407</v>
      </c>
      <c r="B45" s="288" t="s">
        <v>2373</v>
      </c>
      <c r="C45" s="289">
        <f ca="1">C46</f>
        <v>226</v>
      </c>
      <c r="D45" s="279">
        <f ca="1">C47</f>
        <v>5.0000000000000001E-3</v>
      </c>
      <c r="E45" s="280" t="s">
        <v>2399</v>
      </c>
      <c r="F45" s="290"/>
      <c r="G45" s="291" t="s">
        <v>2408</v>
      </c>
    </row>
    <row r="46" spans="1:7" s="258" customFormat="1" ht="13.5" customHeight="1">
      <c r="A46" s="952" t="s">
        <v>791</v>
      </c>
      <c r="B46" s="292" t="s">
        <v>2409</v>
      </c>
      <c r="C46" s="293">
        <f ca="1">ROUND((C33+C39)*F27,0)</f>
        <v>226</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1729">
        <f>ROUND(F30/(1+'数据-取费表'!C42),4)</f>
        <v>5.33E-2</v>
      </c>
      <c r="D48" s="280" t="s">
        <v>2399</v>
      </c>
      <c r="E48" s="276"/>
      <c r="F48" s="281"/>
      <c r="G48" s="278" t="s">
        <v>2412</v>
      </c>
    </row>
    <row r="49" spans="1:7" ht="16.5" customHeight="1">
      <c r="A49" s="299" t="s">
        <v>2378</v>
      </c>
      <c r="B49" s="254" t="s">
        <v>2413</v>
      </c>
      <c r="C49" s="276">
        <f ca="1">ROUND((C33+C39+C41+C45)/(1-C40-D41-D45-C48),0)</f>
        <v>1246</v>
      </c>
      <c r="D49" s="276"/>
      <c r="E49" s="276"/>
      <c r="F49" s="308"/>
      <c r="G49" s="278" t="s">
        <v>2414</v>
      </c>
    </row>
    <row r="50" spans="1:7" s="302" customFormat="1" ht="24">
      <c r="A50" s="299" t="s">
        <v>2415</v>
      </c>
      <c r="B50" s="254" t="s">
        <v>2416</v>
      </c>
      <c r="C50" s="276"/>
      <c r="D50" s="276"/>
      <c r="E50" s="276"/>
      <c r="F50" s="308">
        <f>IF('数据-取费表'!B24=0,'数据-取费表'!N16,1)</f>
        <v>0.77</v>
      </c>
      <c r="G50" s="291" t="s">
        <v>2417</v>
      </c>
    </row>
    <row r="51" spans="1:7" ht="16.5" customHeight="1">
      <c r="A51" s="299" t="s">
        <v>2418</v>
      </c>
      <c r="B51" s="254" t="s">
        <v>2419</v>
      </c>
      <c r="C51" s="276">
        <f ca="1">ROUND(C49*F50,0)</f>
        <v>959</v>
      </c>
      <c r="D51" s="276"/>
      <c r="E51" s="276"/>
      <c r="F51" s="308"/>
      <c r="G51" s="278" t="s">
        <v>2420</v>
      </c>
    </row>
    <row r="52" spans="1:7" s="252" customFormat="1" ht="16.5" thickBot="1">
      <c r="A52" s="309" t="s">
        <v>2421</v>
      </c>
      <c r="B52" s="310"/>
      <c r="C52" s="311">
        <f ca="1">C31+C51</f>
        <v>1031</v>
      </c>
      <c r="D52" s="310"/>
      <c r="E52" s="310"/>
      <c r="F52" s="310"/>
      <c r="G52" s="312"/>
    </row>
    <row r="55" spans="1:7" ht="15">
      <c r="B55" s="314" t="s">
        <v>2422</v>
      </c>
      <c r="C55" s="315"/>
    </row>
    <row r="56" spans="1:7">
      <c r="B56" s="317" t="s">
        <v>1512</v>
      </c>
      <c r="C56" s="319">
        <f ca="1">1-C57</f>
        <v>6.9999999999999951E-2</v>
      </c>
    </row>
    <row r="57" spans="1:7">
      <c r="B57" s="317" t="s">
        <v>1513</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9" t="str">
        <f>项目基本情况!B1</f>
        <v>北京市朝阳区东三环南路76号房地产抵押价值预评估</v>
      </c>
      <c r="C37" s="3049"/>
      <c r="D37" s="3049"/>
      <c r="E37" s="3049"/>
      <c r="F37" s="3049"/>
      <c r="G37" s="3049"/>
      <c r="H37" s="3049"/>
      <c r="I37" s="3049"/>
    </row>
    <row r="38" spans="1:9">
      <c r="A38" s="1017"/>
      <c r="B38" s="1017"/>
    </row>
    <row r="39" spans="1:9">
      <c r="A39" s="1015" t="s">
        <v>818</v>
      </c>
      <c r="B39" s="1015" t="s">
        <v>820</v>
      </c>
    </row>
    <row r="40" spans="1:9">
      <c r="A40" s="1015"/>
      <c r="B40" s="1943" t="str">
        <f>项目基本情况!B5</f>
        <v>北京达世行汽车销售有限公司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6" t="s">
        <v>2423</v>
      </c>
      <c r="D1" s="242"/>
      <c r="E1" s="242"/>
      <c r="F1" s="242"/>
      <c r="G1" s="1380">
        <f>MATCH(B1,'数据-取费表'!A6:A16,0)+5</f>
        <v>7</v>
      </c>
      <c r="H1" s="1283" t="str">
        <f>IF(ISERROR(FIND("住宅",B1)),"非住宅","住宅")</f>
        <v>非住宅</v>
      </c>
    </row>
    <row r="2" spans="1:8" s="244" customFormat="1" ht="18" customHeight="1">
      <c r="A2" s="245" t="s">
        <v>2322</v>
      </c>
      <c r="B2" s="246">
        <f ca="1">ROUND(IF(D2="——",C52/10000,C52/10000-E2),0)</f>
        <v>1102</v>
      </c>
      <c r="C2" s="243" t="s">
        <v>2323</v>
      </c>
      <c r="D2" s="2550" t="s">
        <v>70</v>
      </c>
      <c r="E2" s="1441"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4414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499318</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499318</v>
      </c>
      <c r="D8" s="266"/>
      <c r="E8" s="264"/>
      <c r="F8" s="265"/>
      <c r="G8" s="2553"/>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2340</v>
      </c>
      <c r="C10" s="269">
        <f ca="1">ROUND(D10*E10,0)</f>
        <v>499318</v>
      </c>
      <c r="D10" s="1033">
        <f ca="1">IF(B1="",'数据-汇总表'!E6,IF(INDIRECT("'数据-取费表'!c"&amp;$G$1)="住宅",INDIRECT("'数据-取费表'!s"&amp;$G$1),INDIRECT("'数据-取费表'!k"&amp;$G$1)+INDIRECT("'数据-取费表'!s"&amp;$G$1)))</f>
        <v>2496.59</v>
      </c>
      <c r="E10" s="269">
        <f>'数据-取费表'!B28</f>
        <v>200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499318</v>
      </c>
      <c r="D19" s="1037">
        <f ca="1">D9+D10</f>
        <v>2496.59</v>
      </c>
      <c r="E19" s="255">
        <f>'数据-取费表'!B31</f>
        <v>200</v>
      </c>
      <c r="F19" s="275"/>
      <c r="G19" s="2553"/>
    </row>
    <row r="20" spans="1:7" s="258" customFormat="1" ht="13.5" customHeight="1">
      <c r="A20" s="299" t="s">
        <v>2434</v>
      </c>
      <c r="B20" s="254" t="s">
        <v>2435</v>
      </c>
      <c r="C20" s="276">
        <f ca="1">ROUND((C5+C19)*F20,0)</f>
        <v>19973</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43874</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2" t="s">
        <v>2332</v>
      </c>
      <c r="B23" s="259" t="s">
        <v>2443</v>
      </c>
      <c r="C23" s="1382">
        <f ca="1">ROUND(IF('数据-取费表'!B22&lt;=1,C5*F22*'数据-取费表'!B22,C5*(POWER((1+F22),'数据-取费表'!B22)-1)),0)</f>
        <v>21720</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21720</v>
      </c>
      <c r="D24" s="282"/>
      <c r="E24" s="282"/>
      <c r="F24" s="283"/>
      <c r="G24" s="284" t="s">
        <v>2446</v>
      </c>
    </row>
    <row r="25" spans="1:7" s="258" customFormat="1" ht="24">
      <c r="A25" s="952" t="s">
        <v>2336</v>
      </c>
      <c r="B25" s="259" t="s">
        <v>2447</v>
      </c>
      <c r="C25" s="1382">
        <f ca="1">ROUND(IF('数据-取费表'!B22&lt;=1,C20*F22*'数据-取费表'!B22/2,C20*(POWER((1+F22),'数据-取费表'!B22/2)-1)),0)</f>
        <v>434</v>
      </c>
      <c r="D25" s="282"/>
      <c r="E25" s="285"/>
      <c r="F25" s="283"/>
      <c r="G25" s="286" t="s">
        <v>2448</v>
      </c>
    </row>
    <row r="26" spans="1:7" s="258" customFormat="1">
      <c r="A26" s="952"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254652</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ROUND((C5+C19+C20)*F27,0)</f>
        <v>254652</v>
      </c>
      <c r="D28" s="279"/>
      <c r="E28" s="280"/>
      <c r="F28" s="290"/>
      <c r="G28" s="291"/>
    </row>
    <row r="29" spans="1:7" s="258" customFormat="1" ht="13.5" customHeight="1">
      <c r="A29" s="952"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1429648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8847915</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7989088</v>
      </c>
      <c r="D34" s="261"/>
      <c r="E34" s="264"/>
      <c r="F34" s="301"/>
      <c r="G34" s="263"/>
    </row>
    <row r="35" spans="1:7" ht="13.5" customHeight="1">
      <c r="A35" s="952" t="s">
        <v>796</v>
      </c>
      <c r="B35" s="259" t="s">
        <v>2387</v>
      </c>
      <c r="C35" s="264">
        <f ca="1">ROUND(C34*F35,0)</f>
        <v>239673</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0.03</v>
      </c>
      <c r="G36" s="304" t="s">
        <v>2390</v>
      </c>
    </row>
    <row r="37" spans="1:7" s="302" customFormat="1" ht="13.5" customHeight="1">
      <c r="A37" s="952" t="s">
        <v>798</v>
      </c>
      <c r="B37" s="259" t="s">
        <v>2391</v>
      </c>
      <c r="C37" s="293">
        <f ca="1">ROUND(E37*D37,0)</f>
        <v>499318</v>
      </c>
      <c r="D37" s="261">
        <f ca="1">D19</f>
        <v>2496.59</v>
      </c>
      <c r="E37" s="293">
        <f>'数据-取费表'!B35</f>
        <v>200</v>
      </c>
      <c r="F37" s="303"/>
      <c r="G37" s="305"/>
    </row>
    <row r="38" spans="1:7" ht="13.5" customHeight="1">
      <c r="A38" s="952" t="s">
        <v>799</v>
      </c>
      <c r="B38" s="259" t="s">
        <v>2393</v>
      </c>
      <c r="C38" s="264">
        <f ca="1">ROUND(C34*F38,0)</f>
        <v>119836</v>
      </c>
      <c r="D38" s="264"/>
      <c r="E38" s="264"/>
      <c r="F38" s="303">
        <f>'数据-取费表'!B36</f>
        <v>1.4999999999999999E-2</v>
      </c>
      <c r="G38" s="263" t="s">
        <v>2388</v>
      </c>
    </row>
    <row r="39" spans="1:7" s="258" customFormat="1" ht="13.5" customHeight="1">
      <c r="A39" s="299" t="s">
        <v>2394</v>
      </c>
      <c r="B39" s="254" t="s">
        <v>2395</v>
      </c>
      <c r="C39" s="276">
        <f ca="1">ROUND(C33*F20,0)</f>
        <v>176958</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196291</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ROUND(IF('数据-取费表'!B22&lt;=1,C33*F22*'数据-取费表'!B20/2,C33*(POWER((1+F22),'数据-取费表'!B20/2)-1)),0)</f>
        <v>192442</v>
      </c>
      <c r="D42" s="282"/>
      <c r="E42" s="282"/>
      <c r="F42" s="283"/>
      <c r="G42" s="3235" t="s">
        <v>2451</v>
      </c>
    </row>
    <row r="43" spans="1:7" ht="13.5" customHeight="1">
      <c r="A43" s="952" t="s">
        <v>792</v>
      </c>
      <c r="B43" s="259" t="s">
        <v>2405</v>
      </c>
      <c r="C43" s="282">
        <f ca="1">ROUND(IF('数据-取费表'!B22&lt;=1,C39*F22*'数据-取费表'!B20/2,C39*(POWER((1+F22),'数据-取费表'!B20/2)-1)),0)</f>
        <v>3849</v>
      </c>
      <c r="D43" s="282"/>
      <c r="E43" s="282"/>
      <c r="F43" s="283"/>
      <c r="G43" s="3236"/>
    </row>
    <row r="44" spans="1:7" ht="13.5" customHeight="1">
      <c r="A44" s="952" t="s">
        <v>793</v>
      </c>
      <c r="B44" s="259" t="s">
        <v>2406</v>
      </c>
      <c r="C44" s="282">
        <f ca="1">ROUND(IF('数据-取费表'!B22&lt;=1,C40*F22*'数据-取费表'!B20/2,C40*(POWER((1+F22),'数据-取费表'!B20/2)-1)),4)</f>
        <v>4.0000000000000002E-4</v>
      </c>
      <c r="D44" s="282"/>
      <c r="E44" s="282"/>
      <c r="F44" s="283"/>
      <c r="G44" s="3237"/>
    </row>
    <row r="45" spans="1:7" s="258" customFormat="1" ht="13.5" customHeight="1">
      <c r="A45" s="299" t="s">
        <v>2407</v>
      </c>
      <c r="B45" s="288" t="s">
        <v>2373</v>
      </c>
      <c r="C45" s="289">
        <f ca="1">C46</f>
        <v>2256218</v>
      </c>
      <c r="D45" s="279">
        <f ca="1">C47</f>
        <v>5.0000000000000001E-3</v>
      </c>
      <c r="E45" s="280" t="s">
        <v>2399</v>
      </c>
      <c r="F45" s="290"/>
      <c r="G45" s="291" t="s">
        <v>2408</v>
      </c>
    </row>
    <row r="46" spans="1:7" s="258" customFormat="1" ht="13.5" customHeight="1">
      <c r="A46" s="952" t="s">
        <v>791</v>
      </c>
      <c r="B46" s="292" t="s">
        <v>2409</v>
      </c>
      <c r="C46" s="293">
        <f ca="1">ROUND((C33+C39)*F27,0)</f>
        <v>2256218</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12457812</v>
      </c>
      <c r="D49" s="276"/>
      <c r="E49" s="276"/>
      <c r="F49" s="308"/>
      <c r="G49" s="278" t="s">
        <v>2414</v>
      </c>
    </row>
    <row r="50" spans="1:7" s="302" customFormat="1">
      <c r="A50" s="299" t="s">
        <v>2415</v>
      </c>
      <c r="B50" s="254" t="s">
        <v>2416</v>
      </c>
      <c r="C50" s="276"/>
      <c r="D50" s="276"/>
      <c r="E50" s="276"/>
      <c r="F50" s="308">
        <f>IF('数据-取费表'!B24=0,'数据-取费表'!N16,1)</f>
        <v>0.77</v>
      </c>
      <c r="G50" s="291"/>
    </row>
    <row r="51" spans="1:7" ht="16.5" customHeight="1">
      <c r="A51" s="299" t="s">
        <v>2418</v>
      </c>
      <c r="B51" s="254" t="s">
        <v>2453</v>
      </c>
      <c r="C51" s="276">
        <f ca="1">ROUND(C49*F50,0)</f>
        <v>9592515</v>
      </c>
      <c r="D51" s="276"/>
      <c r="E51" s="276"/>
      <c r="F51" s="308"/>
      <c r="G51" s="278" t="s">
        <v>2420</v>
      </c>
    </row>
    <row r="52" spans="1:7" s="252" customFormat="1" ht="16.5" thickBot="1">
      <c r="A52" s="309" t="s">
        <v>2421</v>
      </c>
      <c r="B52" s="310"/>
      <c r="C52" s="311">
        <f ca="1">C31+C51</f>
        <v>11022163</v>
      </c>
      <c r="D52" s="310"/>
      <c r="E52" s="310"/>
      <c r="F52" s="310"/>
      <c r="G52" s="312"/>
    </row>
    <row r="55" spans="1:7" ht="15">
      <c r="B55" s="314" t="s">
        <v>2422</v>
      </c>
      <c r="C55" s="315"/>
    </row>
    <row r="56" spans="1:7">
      <c r="B56" s="317" t="s">
        <v>1512</v>
      </c>
      <c r="C56" s="319">
        <f ca="1">1-C57</f>
        <v>0.13</v>
      </c>
    </row>
    <row r="57" spans="1:7">
      <c r="B57" s="317" t="s">
        <v>1513</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7</v>
      </c>
    </row>
    <row r="2" spans="1:33" ht="18" customHeight="1">
      <c r="A2" s="245" t="s">
        <v>2322</v>
      </c>
      <c r="B2" s="248">
        <f ca="1">C32</f>
        <v>-62</v>
      </c>
      <c r="C2" s="320" t="s">
        <v>2455</v>
      </c>
      <c r="D2" s="320"/>
      <c r="E2" s="320"/>
      <c r="F2" s="320"/>
      <c r="G2" s="320"/>
      <c r="H2" s="320"/>
      <c r="I2" s="320"/>
      <c r="J2" s="320"/>
      <c r="K2" s="320"/>
    </row>
    <row r="3" spans="1:33" ht="18" customHeight="1" thickBot="1">
      <c r="A3" s="247" t="s">
        <v>2324</v>
      </c>
      <c r="B3" s="248">
        <f ca="1">ROUND(B2*10000/IF(C1="",'数据-汇总表'!E3,INDIRECT("'数据-取费表'!K"&amp;$K$1)),0)</f>
        <v>-248</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7" t="s">
        <v>2460</v>
      </c>
      <c r="D5" s="2557" t="s">
        <v>2461</v>
      </c>
      <c r="E5" s="2557" t="s">
        <v>2462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5"/>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5"/>
      <c r="F13" s="977">
        <f>'数据-取费表'!B34</f>
        <v>0.03</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2496.59</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2496.59</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50</v>
      </c>
      <c r="D18" s="1034"/>
      <c r="E18" s="24"/>
      <c r="F18" s="977"/>
      <c r="G18" s="2559"/>
      <c r="H18" s="1578"/>
      <c r="I18" s="2560"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2490</v>
      </c>
      <c r="C20" s="24">
        <f ca="1">ROUND(D20*E20/10000,0)</f>
        <v>50</v>
      </c>
      <c r="D20" s="1034">
        <f ca="1">IF(C1="",'数据-汇总表'!E6,IF(INDIRECT("'数据-取费表'!c"&amp;$K$1)="住宅",INDIRECT("'数据-取费表'!s"&amp;$K$1),INDIRECT("'数据-取费表'!k"&amp;$K$1)+INDIRECT("'数据-取费表'!s"&amp;$K$1)))</f>
        <v>2496.59</v>
      </c>
      <c r="E20" s="24">
        <f>'数据-取费表'!B28</f>
        <v>200</v>
      </c>
      <c r="F20" s="977"/>
      <c r="G20" s="15"/>
      <c r="H20" s="982"/>
      <c r="I20" s="982"/>
      <c r="J20" s="982"/>
      <c r="K20" s="983"/>
    </row>
    <row r="21" spans="1:33" s="976" customFormat="1" ht="13.5" customHeight="1">
      <c r="A21" s="962" t="s">
        <v>802</v>
      </c>
      <c r="B21" s="986" t="s">
        <v>2491</v>
      </c>
      <c r="C21" s="987">
        <f ca="1">C16+C17+C18</f>
        <v>50</v>
      </c>
      <c r="D21" s="988"/>
      <c r="E21" s="325"/>
      <c r="F21" s="325"/>
      <c r="G21" s="140" t="s">
        <v>2492</v>
      </c>
      <c r="H21" s="980"/>
      <c r="I21" s="980"/>
      <c r="J21" s="980"/>
      <c r="K21" s="981"/>
    </row>
    <row r="22" spans="1:33" s="976" customFormat="1" ht="13.5" customHeight="1">
      <c r="A22" s="962" t="s">
        <v>2464</v>
      </c>
      <c r="B22" s="986" t="s">
        <v>2493</v>
      </c>
      <c r="C22" s="987">
        <f ca="1">ROUND(C21*F22,0)</f>
        <v>1</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0"/>
      <c r="I27" s="980"/>
      <c r="J27" s="980"/>
      <c r="K27" s="981"/>
    </row>
    <row r="28" spans="1:33" s="333" customFormat="1" ht="13.5" customHeight="1">
      <c r="A28" s="962" t="s">
        <v>2504</v>
      </c>
      <c r="B28" s="2562" t="s">
        <v>2505</v>
      </c>
      <c r="C28" s="331">
        <f ca="1">C30</f>
        <v>13</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13</v>
      </c>
      <c r="D30" s="328"/>
      <c r="E30" s="329"/>
      <c r="F30" s="334"/>
      <c r="G30" s="140"/>
      <c r="H30" s="980"/>
      <c r="I30" s="980"/>
      <c r="J30" s="980"/>
      <c r="K30" s="981"/>
    </row>
    <row r="31" spans="1:33" s="976" customFormat="1" ht="13.5" customHeight="1" thickBot="1">
      <c r="A31" s="2563" t="s">
        <v>2509</v>
      </c>
      <c r="B31" s="1006" t="s">
        <v>2510</v>
      </c>
      <c r="C31" s="1007">
        <f>ROUND(C4*F31/(1+'数据-取费表'!C42),0)</f>
        <v>0</v>
      </c>
      <c r="D31" s="1008"/>
      <c r="E31" s="1009"/>
      <c r="F31" s="1010">
        <f>'数据-取费表'!B41</f>
        <v>5.6000000000000001E-2</v>
      </c>
      <c r="G31" s="1011" t="s">
        <v>2511</v>
      </c>
      <c r="H31" s="1012"/>
      <c r="I31" s="1012"/>
      <c r="J31" s="1012"/>
      <c r="K31" s="1013"/>
    </row>
    <row r="32" spans="1:33" s="971" customFormat="1" ht="13.5" customHeight="1" thickBot="1">
      <c r="A32" s="1001" t="s">
        <v>2512</v>
      </c>
      <c r="B32" s="1002"/>
      <c r="C32" s="1003">
        <f ca="1">ROUND((C4-C21-C22-C23-C25-C28-C31)/(1+C24+D25+D28),0)</f>
        <v>-62</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3196</v>
      </c>
      <c r="E1" s="2660"/>
      <c r="F1" s="2587" t="s">
        <v>3077</v>
      </c>
      <c r="G1" s="1632" t="s">
        <v>2638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2322</v>
      </c>
      <c r="B2" s="1419">
        <f>IF(C2="——",ROUND(C49*D3/10000,0),ROUND(C49*D3/10000,0)-D2)</f>
        <v>11368</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2324</v>
      </c>
      <c r="B3" s="609">
        <f>IF(C2="——",C49,ROUND(B2*10000/D3,0))</f>
        <v>45535</v>
      </c>
      <c r="C3" s="400" t="s">
        <v>2639</v>
      </c>
      <c r="D3" s="399">
        <f>IF(D1="",'数据-汇总表'!E3,SUMIF('数据-汇总表'!$C19:$C33,D1,'数据-汇总表'!$E19:$E33))</f>
        <v>2496.59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41" t="s">
        <v>2643</v>
      </c>
      <c r="AC4" s="3238" t="s">
        <v>2644</v>
      </c>
    </row>
    <row r="5" spans="1:29" ht="15">
      <c r="A5" s="404"/>
      <c r="B5" s="405"/>
      <c r="C5" s="3250" t="s">
        <v>2537</v>
      </c>
      <c r="D5" s="3251"/>
      <c r="E5" s="3248" t="s">
        <v>3114</v>
      </c>
      <c r="F5" s="3249"/>
      <c r="G5" s="3254" t="s">
        <v>3115</v>
      </c>
      <c r="H5" s="3251"/>
      <c r="I5" s="3254" t="s">
        <v>3116</v>
      </c>
      <c r="J5" s="3251"/>
      <c r="K5" s="610"/>
      <c r="L5" s="1131"/>
      <c r="M5" s="1132"/>
      <c r="N5" s="1132"/>
      <c r="O5" s="1132"/>
      <c r="P5" s="3265"/>
      <c r="Q5" s="3266"/>
      <c r="R5" s="3246"/>
      <c r="S5" s="3247"/>
      <c r="T5" s="3246"/>
      <c r="U5" s="3247"/>
      <c r="V5" s="3241"/>
      <c r="W5" s="3241"/>
      <c r="X5" s="1814"/>
      <c r="Y5" s="3246"/>
      <c r="Z5" s="3247"/>
      <c r="AA5" s="3239"/>
      <c r="AB5" s="3241"/>
      <c r="AC5" s="3239"/>
    </row>
    <row r="6" spans="1:29" ht="15.75" thickBot="1">
      <c r="A6" s="406"/>
      <c r="B6" s="407"/>
      <c r="C6" s="3252" t="s">
        <v>2541</v>
      </c>
      <c r="D6" s="3253"/>
      <c r="E6" s="3255" t="s">
        <v>3203</v>
      </c>
      <c r="F6" s="3256"/>
      <c r="G6" s="3257" t="s">
        <v>3201</v>
      </c>
      <c r="H6" s="3253"/>
      <c r="I6" s="3257" t="s">
        <v>3202</v>
      </c>
      <c r="J6" s="3253"/>
      <c r="K6" s="610" t="s">
        <v>2542</v>
      </c>
      <c r="L6" s="1131"/>
      <c r="M6" s="1132"/>
      <c r="N6" s="1132"/>
      <c r="O6" s="1132"/>
      <c r="P6" s="3267"/>
      <c r="Q6" s="3268"/>
      <c r="R6" s="3246"/>
      <c r="S6" s="3247"/>
      <c r="T6" s="3269"/>
      <c r="U6" s="3270"/>
      <c r="V6" s="3241"/>
      <c r="W6" s="3241"/>
      <c r="X6" s="1814"/>
      <c r="Y6" s="3269"/>
      <c r="Z6" s="3270"/>
      <c r="AA6" s="3240"/>
      <c r="AB6" s="3241"/>
      <c r="AC6" s="3240"/>
    </row>
    <row r="7" spans="1:29" s="117" customFormat="1" ht="15.75" thickBot="1">
      <c r="A7" s="408" t="s">
        <v>2543</v>
      </c>
      <c r="B7" s="409"/>
      <c r="C7" s="410">
        <f>'数据-取费表'!B2</f>
        <v>43251</v>
      </c>
      <c r="D7" s="411">
        <v>100</v>
      </c>
      <c r="E7" s="412">
        <v>43238</v>
      </c>
      <c r="F7" s="413">
        <f>SUMIF(58:58,YEAR(E7)&amp;"-"&amp;MONTH(E7),59:59)</f>
        <v>100</v>
      </c>
      <c r="G7" s="412">
        <v>43241</v>
      </c>
      <c r="H7" s="411">
        <f>SUMIF(58:58,YEAR(G7)&amp;"-"&amp;MONTH(G7),59:59)</f>
        <v>100</v>
      </c>
      <c r="I7" s="412">
        <v>43220</v>
      </c>
      <c r="J7" s="411">
        <f>SUMIF(58:58,YEAR(I7)&amp;"-"&amp;MONTH(I7),59:59)</f>
        <v>100</v>
      </c>
      <c r="K7" s="611"/>
      <c r="L7" s="1133"/>
      <c r="M7" s="1134"/>
      <c r="N7" s="1134"/>
      <c r="O7" s="1134"/>
      <c r="P7" s="3242" t="s">
        <v>2544</v>
      </c>
      <c r="Q7" s="3271"/>
      <c r="R7" s="768" t="s">
        <v>17</v>
      </c>
      <c r="S7" s="769">
        <f t="shared" ref="S7:S15" si="0">F7</f>
        <v>100</v>
      </c>
      <c r="T7" s="768" t="s">
        <v>17</v>
      </c>
      <c r="U7" s="769">
        <f t="shared" ref="U7:U15" si="1">H7</f>
        <v>100</v>
      </c>
      <c r="V7" s="768" t="s">
        <v>17</v>
      </c>
      <c r="W7" s="769">
        <f t="shared" ref="W7:W15" si="2">J7</f>
        <v>100</v>
      </c>
      <c r="X7" s="770"/>
      <c r="Y7" s="3242" t="s">
        <v>2544</v>
      </c>
      <c r="Z7" s="3243"/>
      <c r="AA7" s="771">
        <f>D7/F7</f>
        <v>1</v>
      </c>
      <c r="AB7" s="771">
        <f>D7/H7</f>
        <v>1</v>
      </c>
      <c r="AC7" s="771">
        <f>D7/J7</f>
        <v>1</v>
      </c>
    </row>
    <row r="8" spans="1:29" s="117" customFormat="1" ht="15.75" thickBot="1">
      <c r="A8" s="408" t="s">
        <v>2545</v>
      </c>
      <c r="B8" s="409"/>
      <c r="C8" s="414" t="s">
        <v>2647</v>
      </c>
      <c r="D8" s="411">
        <v>100</v>
      </c>
      <c r="E8" s="414" t="s">
        <v>3079</v>
      </c>
      <c r="F8" s="413">
        <f>SUMIF(61:61,E8,62:62)-SUMIF(61:61,C8,62:62)+100</f>
        <v>100</v>
      </c>
      <c r="G8" s="414" t="s">
        <v>3079</v>
      </c>
      <c r="H8" s="411">
        <f>SUMIF(61:61,G8,62:62)-SUMIF(61:61,C8,62:62)+100</f>
        <v>100</v>
      </c>
      <c r="I8" s="414" t="s">
        <v>3079</v>
      </c>
      <c r="J8" s="411">
        <f>SUMIF(61:61,I8,62:62)-SUMIF(61:61,C8,62:62)+100</f>
        <v>100</v>
      </c>
      <c r="K8" s="611"/>
      <c r="L8" s="1133"/>
      <c r="M8" s="1134"/>
      <c r="N8" s="1134"/>
      <c r="O8" s="1134"/>
      <c r="P8" s="3242" t="s">
        <v>2547</v>
      </c>
      <c r="Q8" s="3243"/>
      <c r="R8" s="768" t="s">
        <v>17</v>
      </c>
      <c r="S8" s="769">
        <f t="shared" si="0"/>
        <v>100</v>
      </c>
      <c r="T8" s="768" t="s">
        <v>17</v>
      </c>
      <c r="U8" s="769">
        <f t="shared" si="1"/>
        <v>100</v>
      </c>
      <c r="V8" s="768" t="s">
        <v>17</v>
      </c>
      <c r="W8" s="769">
        <f t="shared" si="2"/>
        <v>100</v>
      </c>
      <c r="X8" s="770"/>
      <c r="Y8" s="3242" t="s">
        <v>2547</v>
      </c>
      <c r="Z8" s="3243"/>
      <c r="AA8" s="771">
        <f t="shared" ref="AA8:AA46" si="3">D8/F8</f>
        <v>1</v>
      </c>
      <c r="AB8" s="771">
        <f t="shared" ref="AB8:AB46" si="4">D8/H8</f>
        <v>1</v>
      </c>
      <c r="AC8" s="771">
        <f t="shared" ref="AC8:AC46" si="5">D8/J8</f>
        <v>1</v>
      </c>
    </row>
    <row r="9" spans="1:29" s="117" customFormat="1">
      <c r="A9" s="415" t="s">
        <v>2548</v>
      </c>
      <c r="B9" s="71" t="s">
        <v>2549</v>
      </c>
      <c r="C9" s="2968" t="s">
        <v>3078</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58"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t="s">
        <v>3080</v>
      </c>
      <c r="D10" s="136">
        <v>100</v>
      </c>
      <c r="E10" s="424" t="s">
        <v>3081</v>
      </c>
      <c r="F10" s="425">
        <f>SUMIF(65:65,E10,66:66)-SUMIF(65:65,C10,66:66)+100</f>
        <v>102</v>
      </c>
      <c r="G10" s="423" t="s">
        <v>3081</v>
      </c>
      <c r="H10" s="136">
        <f>SUMIF(65:65,G10,66:66)-SUMIF(65:65,C10,66:66)+100</f>
        <v>102</v>
      </c>
      <c r="I10" s="423" t="s">
        <v>3081</v>
      </c>
      <c r="J10" s="136">
        <f>SUMIF(65:65,I10,66:66)-SUMIF(65:65,C10,66:66)+100</f>
        <v>102</v>
      </c>
      <c r="K10" s="612">
        <v>2</v>
      </c>
      <c r="L10" s="1136"/>
      <c r="M10" s="1137"/>
      <c r="N10" s="1137"/>
      <c r="O10" s="1137"/>
      <c r="P10" s="3258"/>
      <c r="Q10" s="1796" t="str">
        <f t="shared" si="6"/>
        <v>土地使用年限（年）</v>
      </c>
      <c r="R10" s="768" t="s">
        <v>17</v>
      </c>
      <c r="S10" s="769">
        <f t="shared" si="0"/>
        <v>102</v>
      </c>
      <c r="T10" s="768" t="s">
        <v>17</v>
      </c>
      <c r="U10" s="769">
        <f t="shared" si="1"/>
        <v>102</v>
      </c>
      <c r="V10" s="768" t="s">
        <v>17</v>
      </c>
      <c r="W10" s="769">
        <f t="shared" si="2"/>
        <v>102</v>
      </c>
      <c r="X10" s="770"/>
      <c r="Y10" s="3115"/>
      <c r="Z10" s="55" t="str">
        <f t="shared" si="7"/>
        <v>土地使用年限（年）</v>
      </c>
      <c r="AA10" s="771">
        <f t="shared" si="3"/>
        <v>0.98039215686274506</v>
      </c>
      <c r="AB10" s="771">
        <f t="shared" si="4"/>
        <v>0.98039215686274506</v>
      </c>
      <c r="AC10" s="771">
        <f t="shared" si="5"/>
        <v>0.98039215686274506</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58"/>
      <c r="Q11" s="1796" t="str">
        <f t="shared" si="6"/>
        <v>容积率</v>
      </c>
      <c r="R11" s="768" t="s">
        <v>17</v>
      </c>
      <c r="S11" s="769">
        <f t="shared" si="0"/>
        <v>100</v>
      </c>
      <c r="T11" s="768" t="s">
        <v>17</v>
      </c>
      <c r="U11" s="769">
        <f t="shared" si="1"/>
        <v>100</v>
      </c>
      <c r="V11" s="768" t="s">
        <v>17</v>
      </c>
      <c r="W11" s="769">
        <f t="shared" si="2"/>
        <v>100</v>
      </c>
      <c r="X11" s="770"/>
      <c r="Y11" s="3115"/>
      <c r="Z11" s="55"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58"/>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58"/>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58"/>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103</v>
      </c>
      <c r="G15" s="444"/>
      <c r="H15" s="441">
        <f>SUMIF(76:76,G16,77:77)-SUMIF(76:76,C16,77:77)+100</f>
        <v>103</v>
      </c>
      <c r="I15" s="442"/>
      <c r="J15" s="441">
        <f>SUMIF(76:76,I16,77:77)-SUMIF(76:76,C16,77:77)+100</f>
        <v>103</v>
      </c>
      <c r="K15" s="614">
        <v>3</v>
      </c>
      <c r="L15" s="1141"/>
      <c r="M15" s="1132"/>
      <c r="N15" s="1132"/>
      <c r="O15" s="1132"/>
      <c r="P15" s="3272" t="s">
        <v>2555</v>
      </c>
      <c r="Q15" s="1811" t="str">
        <f t="shared" si="6"/>
        <v>商业繁华度</v>
      </c>
      <c r="R15" s="772" t="s">
        <v>17</v>
      </c>
      <c r="S15" s="773">
        <f t="shared" si="0"/>
        <v>103</v>
      </c>
      <c r="T15" s="772" t="s">
        <v>17</v>
      </c>
      <c r="U15" s="773">
        <f t="shared" si="1"/>
        <v>103</v>
      </c>
      <c r="V15" s="772" t="s">
        <v>17</v>
      </c>
      <c r="W15" s="773">
        <f t="shared" si="2"/>
        <v>103</v>
      </c>
      <c r="X15" s="1814"/>
      <c r="Y15" s="3274" t="s">
        <v>2555</v>
      </c>
      <c r="Z15" s="1815" t="str">
        <f t="shared" si="7"/>
        <v>商业繁华度</v>
      </c>
      <c r="AA15" s="1812">
        <f t="shared" si="3"/>
        <v>0.970873786407767</v>
      </c>
      <c r="AB15" s="1812">
        <f t="shared" si="4"/>
        <v>0.970873786407767</v>
      </c>
      <c r="AC15" s="1812">
        <f t="shared" si="5"/>
        <v>0.970873786407767</v>
      </c>
    </row>
    <row r="16" spans="1:29" ht="15">
      <c r="A16" s="428"/>
      <c r="B16" s="446"/>
      <c r="C16" s="447" t="s">
        <v>3124</v>
      </c>
      <c r="D16" s="448"/>
      <c r="E16" s="447" t="s">
        <v>3126</v>
      </c>
      <c r="F16" s="449"/>
      <c r="G16" s="447" t="s">
        <v>3126</v>
      </c>
      <c r="H16" s="450"/>
      <c r="I16" s="447" t="s">
        <v>3126</v>
      </c>
      <c r="J16" s="448"/>
      <c r="K16" s="615"/>
      <c r="L16" s="1141"/>
      <c r="M16" s="1132"/>
      <c r="N16" s="1132"/>
      <c r="O16" s="1132"/>
      <c r="P16" s="3273"/>
      <c r="Q16" s="1811"/>
      <c r="R16" s="772"/>
      <c r="S16" s="773"/>
      <c r="T16" s="772"/>
      <c r="U16" s="773"/>
      <c r="V16" s="772"/>
      <c r="W16" s="773"/>
      <c r="X16" s="1814"/>
      <c r="Y16" s="3275"/>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73"/>
      <c r="Q17" s="1811" t="str">
        <f>B17</f>
        <v>交通便捷度</v>
      </c>
      <c r="R17" s="772" t="s">
        <v>17</v>
      </c>
      <c r="S17" s="773">
        <f>F17</f>
        <v>100</v>
      </c>
      <c r="T17" s="772" t="s">
        <v>17</v>
      </c>
      <c r="U17" s="773">
        <f>H17</f>
        <v>100</v>
      </c>
      <c r="V17" s="772" t="s">
        <v>17</v>
      </c>
      <c r="W17" s="773">
        <f>J17</f>
        <v>100</v>
      </c>
      <c r="X17" s="1814"/>
      <c r="Y17" s="3275"/>
      <c r="Z17" s="1815" t="str">
        <f>Q17</f>
        <v>交通便捷度</v>
      </c>
      <c r="AA17" s="1812">
        <f t="shared" si="3"/>
        <v>1</v>
      </c>
      <c r="AB17" s="1812">
        <f t="shared" si="4"/>
        <v>1</v>
      </c>
      <c r="AC17" s="1812">
        <f t="shared" si="5"/>
        <v>1</v>
      </c>
    </row>
    <row r="18" spans="1:29" ht="15">
      <c r="A18" s="428"/>
      <c r="B18" s="456"/>
      <c r="C18" s="447" t="s">
        <v>3124</v>
      </c>
      <c r="D18" s="450"/>
      <c r="E18" s="447" t="s">
        <v>3124</v>
      </c>
      <c r="F18" s="453"/>
      <c r="G18" s="447" t="s">
        <v>3124</v>
      </c>
      <c r="H18" s="448"/>
      <c r="I18" s="447" t="s">
        <v>3124</v>
      </c>
      <c r="J18" s="448"/>
      <c r="K18" s="615"/>
      <c r="L18" s="1141"/>
      <c r="M18" s="1132"/>
      <c r="N18" s="1132"/>
      <c r="O18" s="1132"/>
      <c r="P18" s="3273"/>
      <c r="Q18" s="1811"/>
      <c r="R18" s="772"/>
      <c r="S18" s="773"/>
      <c r="T18" s="772"/>
      <c r="U18" s="773"/>
      <c r="V18" s="772"/>
      <c r="W18" s="773"/>
      <c r="X18" s="1814"/>
      <c r="Y18" s="3275"/>
      <c r="Z18" s="1815"/>
      <c r="AA18" s="1812">
        <v>1</v>
      </c>
      <c r="AB18" s="1812">
        <v>1</v>
      </c>
      <c r="AC18" s="1812">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73"/>
      <c r="Q19" s="1811" t="str">
        <f>B19</f>
        <v>公共配套设施</v>
      </c>
      <c r="R19" s="772" t="s">
        <v>17</v>
      </c>
      <c r="S19" s="773">
        <f>F19</f>
        <v>100</v>
      </c>
      <c r="T19" s="772" t="s">
        <v>17</v>
      </c>
      <c r="U19" s="773">
        <f>H19</f>
        <v>100</v>
      </c>
      <c r="V19" s="772" t="s">
        <v>17</v>
      </c>
      <c r="W19" s="773">
        <f>J19</f>
        <v>100</v>
      </c>
      <c r="X19" s="1814"/>
      <c r="Y19" s="3275"/>
      <c r="Z19" s="1815" t="str">
        <f>Q19</f>
        <v>公共配套设施</v>
      </c>
      <c r="AA19" s="1812">
        <f t="shared" si="3"/>
        <v>1</v>
      </c>
      <c r="AB19" s="1812">
        <f t="shared" si="4"/>
        <v>1</v>
      </c>
      <c r="AC19" s="1812">
        <f t="shared" si="5"/>
        <v>1</v>
      </c>
    </row>
    <row r="20" spans="1:29" ht="15">
      <c r="A20" s="428"/>
      <c r="B20" s="456"/>
      <c r="C20" s="447" t="s">
        <v>3124</v>
      </c>
      <c r="D20" s="448"/>
      <c r="E20" s="447" t="s">
        <v>3124</v>
      </c>
      <c r="F20" s="449"/>
      <c r="G20" s="447" t="s">
        <v>3124</v>
      </c>
      <c r="H20" s="448"/>
      <c r="I20" s="447" t="s">
        <v>3124</v>
      </c>
      <c r="J20" s="448"/>
      <c r="K20" s="615"/>
      <c r="L20" s="1141"/>
      <c r="M20" s="1132"/>
      <c r="N20" s="1132"/>
      <c r="O20" s="1132"/>
      <c r="P20" s="3273"/>
      <c r="Q20" s="1811"/>
      <c r="R20" s="772"/>
      <c r="S20" s="773"/>
      <c r="T20" s="772"/>
      <c r="U20" s="773"/>
      <c r="V20" s="772"/>
      <c r="W20" s="773"/>
      <c r="X20" s="1814"/>
      <c r="Y20" s="3275"/>
      <c r="Z20" s="1815"/>
      <c r="AA20" s="1812">
        <v>1</v>
      </c>
      <c r="AB20" s="1812">
        <v>1</v>
      </c>
      <c r="AC20" s="1812">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73"/>
      <c r="Q21" s="1811" t="str">
        <f>B21</f>
        <v>基础设施水平</v>
      </c>
      <c r="R21" s="772" t="s">
        <v>17</v>
      </c>
      <c r="S21" s="773">
        <f>F21</f>
        <v>100</v>
      </c>
      <c r="T21" s="772" t="s">
        <v>17</v>
      </c>
      <c r="U21" s="773">
        <f>H21</f>
        <v>100</v>
      </c>
      <c r="V21" s="772" t="s">
        <v>17</v>
      </c>
      <c r="W21" s="773">
        <f>J21</f>
        <v>100</v>
      </c>
      <c r="X21" s="1814"/>
      <c r="Y21" s="3275"/>
      <c r="Z21" s="1815" t="str">
        <f>Q21</f>
        <v>基础设施水平</v>
      </c>
      <c r="AA21" s="1812">
        <f t="shared" ref="AA21" si="8">D21/F21</f>
        <v>1</v>
      </c>
      <c r="AB21" s="1812">
        <f t="shared" ref="AB21" si="9">D21/H21</f>
        <v>1</v>
      </c>
      <c r="AC21" s="1812">
        <f t="shared" ref="AC21" si="10">D21/J21</f>
        <v>1</v>
      </c>
    </row>
    <row r="22" spans="1:29" ht="15">
      <c r="A22" s="428"/>
      <c r="B22" s="1385"/>
      <c r="C22" s="447" t="s">
        <v>3140</v>
      </c>
      <c r="D22" s="448"/>
      <c r="E22" s="447" t="s">
        <v>3140</v>
      </c>
      <c r="F22" s="449"/>
      <c r="G22" s="447" t="s">
        <v>3140</v>
      </c>
      <c r="H22" s="448"/>
      <c r="I22" s="447" t="s">
        <v>3140</v>
      </c>
      <c r="J22" s="448"/>
      <c r="K22" s="1384"/>
      <c r="L22" s="1141"/>
      <c r="M22" s="1132"/>
      <c r="N22" s="1132"/>
      <c r="O22" s="1132"/>
      <c r="P22" s="3273"/>
      <c r="Q22" s="1811"/>
      <c r="R22" s="772"/>
      <c r="S22" s="773"/>
      <c r="T22" s="772"/>
      <c r="U22" s="773"/>
      <c r="V22" s="772"/>
      <c r="W22" s="773"/>
      <c r="X22" s="1814"/>
      <c r="Y22" s="3275"/>
      <c r="Z22" s="1815"/>
      <c r="AA22" s="1812">
        <v>1</v>
      </c>
      <c r="AB22" s="1812">
        <v>1</v>
      </c>
      <c r="AC22" s="1812">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73"/>
      <c r="Q23" s="1811" t="str">
        <f>B23</f>
        <v>自然及人文环境</v>
      </c>
      <c r="R23" s="772" t="s">
        <v>17</v>
      </c>
      <c r="S23" s="773">
        <f>F23</f>
        <v>100</v>
      </c>
      <c r="T23" s="772" t="s">
        <v>17</v>
      </c>
      <c r="U23" s="773">
        <f>H23</f>
        <v>100</v>
      </c>
      <c r="V23" s="772" t="s">
        <v>17</v>
      </c>
      <c r="W23" s="773">
        <f>J23</f>
        <v>100</v>
      </c>
      <c r="X23" s="1814"/>
      <c r="Y23" s="3275"/>
      <c r="Z23" s="1815" t="str">
        <f>Q23</f>
        <v>自然及人文环境</v>
      </c>
      <c r="AA23" s="1812">
        <f t="shared" si="3"/>
        <v>1</v>
      </c>
      <c r="AB23" s="1812">
        <f t="shared" si="4"/>
        <v>1</v>
      </c>
      <c r="AC23" s="1812">
        <f t="shared" si="5"/>
        <v>1</v>
      </c>
    </row>
    <row r="24" spans="1:29" ht="15">
      <c r="A24" s="428"/>
      <c r="B24" s="456"/>
      <c r="C24" s="447" t="s">
        <v>3124</v>
      </c>
      <c r="D24" s="448"/>
      <c r="E24" s="447" t="s">
        <v>3124</v>
      </c>
      <c r="F24" s="449"/>
      <c r="G24" s="447" t="s">
        <v>3124</v>
      </c>
      <c r="H24" s="448"/>
      <c r="I24" s="447" t="s">
        <v>3124</v>
      </c>
      <c r="J24" s="448"/>
      <c r="K24" s="615"/>
      <c r="L24" s="1141"/>
      <c r="M24" s="1132"/>
      <c r="N24" s="1132"/>
      <c r="O24" s="1132"/>
      <c r="P24" s="3273"/>
      <c r="Q24" s="1811"/>
      <c r="R24" s="772"/>
      <c r="S24" s="773"/>
      <c r="T24" s="772"/>
      <c r="U24" s="773"/>
      <c r="V24" s="772"/>
      <c r="W24" s="773"/>
      <c r="X24" s="1814"/>
      <c r="Y24" s="3275"/>
      <c r="Z24" s="1815"/>
      <c r="AA24" s="1812">
        <v>1</v>
      </c>
      <c r="AB24" s="1812">
        <v>1</v>
      </c>
      <c r="AC24" s="1812">
        <v>1</v>
      </c>
    </row>
    <row r="25" spans="1:29" ht="15">
      <c r="A25" s="428"/>
      <c r="B25" s="3028" t="s">
        <v>2651</v>
      </c>
      <c r="C25" s="616" t="s">
        <v>3075</v>
      </c>
      <c r="D25" s="435">
        <v>100</v>
      </c>
      <c r="E25" s="616" t="s">
        <v>3075</v>
      </c>
      <c r="F25" s="461">
        <f>SUMIF(86:86,E25,87:87)-SUMIF(86:86,C25,87:87)+100</f>
        <v>100</v>
      </c>
      <c r="G25" s="616" t="s">
        <v>3123</v>
      </c>
      <c r="H25" s="435">
        <f>SUMIF(86:86,G25,87:87)-SUMIF(86:86,C25,87:87)+100</f>
        <v>97</v>
      </c>
      <c r="I25" s="616" t="s">
        <v>3123</v>
      </c>
      <c r="J25" s="435">
        <f>SUMIF(86:86,I25,87:87)-SUMIF(86:86,C25,87:87)+100</f>
        <v>97</v>
      </c>
      <c r="K25" s="612">
        <v>3</v>
      </c>
      <c r="L25" s="1141"/>
      <c r="M25" s="1132"/>
      <c r="N25" s="1132"/>
      <c r="O25" s="1132"/>
      <c r="P25" s="3273"/>
      <c r="Q25" s="1811" t="str">
        <f t="shared" ref="Q25:Q46" si="11">B25</f>
        <v>临街状况</v>
      </c>
      <c r="R25" s="772" t="s">
        <v>17</v>
      </c>
      <c r="S25" s="773">
        <f>F25</f>
        <v>100</v>
      </c>
      <c r="T25" s="772" t="s">
        <v>17</v>
      </c>
      <c r="U25" s="773">
        <f>H25</f>
        <v>97</v>
      </c>
      <c r="V25" s="772" t="s">
        <v>17</v>
      </c>
      <c r="W25" s="773">
        <f>J25</f>
        <v>97</v>
      </c>
      <c r="X25" s="1814"/>
      <c r="Y25" s="3275"/>
      <c r="Z25" s="1815" t="str">
        <f>Q25</f>
        <v>临街状况</v>
      </c>
      <c r="AA25" s="1812">
        <f t="shared" si="3"/>
        <v>1</v>
      </c>
      <c r="AB25" s="1812">
        <f t="shared" si="4"/>
        <v>1.0309278350515463</v>
      </c>
      <c r="AC25" s="1812">
        <f t="shared" si="5"/>
        <v>1.0309278350515463</v>
      </c>
    </row>
    <row r="26" spans="1:29" ht="15">
      <c r="A26" s="428"/>
      <c r="B26" s="1387" t="s">
        <v>2652</v>
      </c>
      <c r="C26" s="2973" t="s">
        <v>3125</v>
      </c>
      <c r="D26" s="435">
        <v>100</v>
      </c>
      <c r="E26" s="2973" t="s">
        <v>3195</v>
      </c>
      <c r="F26" s="461">
        <f>SUMIF(88:88,E26,89:89)-SUMIF(88:88,C26,89:89)+100</f>
        <v>103</v>
      </c>
      <c r="G26" s="2973" t="s">
        <v>3125</v>
      </c>
      <c r="H26" s="435">
        <f>SUMIF(88:88,G26,89:89)-SUMIF(88:88,C26,89:89)+100</f>
        <v>100</v>
      </c>
      <c r="I26" s="2973" t="s">
        <v>3125</v>
      </c>
      <c r="J26" s="435">
        <f>SUMIF(88:88,I26,89:89)-SUMIF(88:88,C26,89:89)+100</f>
        <v>100</v>
      </c>
      <c r="K26" s="613"/>
      <c r="L26" s="1141"/>
      <c r="M26" s="1132"/>
      <c r="N26" s="1132"/>
      <c r="O26" s="1132"/>
      <c r="P26" s="3273"/>
      <c r="Q26" s="1811" t="str">
        <f t="shared" si="11"/>
        <v>平面位置/可视性</v>
      </c>
      <c r="R26" s="772" t="s">
        <v>17</v>
      </c>
      <c r="S26" s="773">
        <f>F26</f>
        <v>103</v>
      </c>
      <c r="T26" s="772" t="s">
        <v>17</v>
      </c>
      <c r="U26" s="773">
        <f>H26</f>
        <v>100</v>
      </c>
      <c r="V26" s="772" t="s">
        <v>17</v>
      </c>
      <c r="W26" s="773">
        <f>J26</f>
        <v>100</v>
      </c>
      <c r="X26" s="1814"/>
      <c r="Y26" s="3275"/>
      <c r="Z26" s="1815" t="str">
        <f>Q26</f>
        <v>平面位置/可视性</v>
      </c>
      <c r="AA26" s="1812">
        <f t="shared" si="3"/>
        <v>0.970873786407767</v>
      </c>
      <c r="AB26" s="1812">
        <f t="shared" si="4"/>
        <v>1</v>
      </c>
      <c r="AC26" s="1812">
        <f t="shared" si="5"/>
        <v>1</v>
      </c>
    </row>
    <row r="27" spans="1:29" s="117" customFormat="1" ht="15">
      <c r="A27" s="431"/>
      <c r="B27" s="451" t="s">
        <v>2653</v>
      </c>
      <c r="C27" s="2668" t="s">
        <v>3128</v>
      </c>
      <c r="D27" s="462">
        <v>100</v>
      </c>
      <c r="E27" s="2668" t="s">
        <v>3129</v>
      </c>
      <c r="F27" s="464">
        <f>SUMIF(90:90,E27,91:91)-SUMIF(90:90,C27,91:91)+100</f>
        <v>102</v>
      </c>
      <c r="G27" s="2668" t="s">
        <v>3129</v>
      </c>
      <c r="H27" s="462">
        <f>SUMIF(90:90,G27,91:91)-SUMIF(90:90,C27,91:91)+100</f>
        <v>102</v>
      </c>
      <c r="I27" s="2668" t="s">
        <v>3129</v>
      </c>
      <c r="J27" s="462">
        <f>SUMIF(90:90,I27,91:91)-SUMIF(90:90,C27,91:91)+100</f>
        <v>102</v>
      </c>
      <c r="K27" s="612">
        <v>2</v>
      </c>
      <c r="L27" s="1133"/>
      <c r="M27" s="1134"/>
      <c r="N27" s="1134"/>
      <c r="O27" s="1134"/>
      <c r="P27" s="3273"/>
      <c r="Q27" s="1796" t="str">
        <f t="shared" si="11"/>
        <v>人流量</v>
      </c>
      <c r="R27" s="768" t="s">
        <v>17</v>
      </c>
      <c r="S27" s="769">
        <f>F27</f>
        <v>102</v>
      </c>
      <c r="T27" s="768" t="s">
        <v>17</v>
      </c>
      <c r="U27" s="769">
        <f>H27</f>
        <v>102</v>
      </c>
      <c r="V27" s="768" t="s">
        <v>17</v>
      </c>
      <c r="W27" s="769">
        <f>J27</f>
        <v>102</v>
      </c>
      <c r="X27" s="770"/>
      <c r="Y27" s="3275"/>
      <c r="Z27" s="55" t="str">
        <f>Q27</f>
        <v>人流量</v>
      </c>
      <c r="AA27" s="1812">
        <f>D27/F27</f>
        <v>0.98039215686274506</v>
      </c>
      <c r="AB27" s="1812">
        <f>D27/H27</f>
        <v>0.98039215686274506</v>
      </c>
      <c r="AC27" s="1812">
        <f>D27/J27</f>
        <v>0.98039215686274506</v>
      </c>
    </row>
    <row r="28" spans="1:29" ht="15">
      <c r="A28" s="428"/>
      <c r="B28" s="422" t="s">
        <v>2654</v>
      </c>
      <c r="C28" s="616" t="s">
        <v>3130</v>
      </c>
      <c r="D28" s="435">
        <v>100</v>
      </c>
      <c r="E28" s="616" t="s">
        <v>3130</v>
      </c>
      <c r="F28" s="461">
        <f>SUMIF(92:92,E28,93:93)-SUMIF(92:92,C28,93:93)+100</f>
        <v>100</v>
      </c>
      <c r="G28" s="616" t="s">
        <v>3130</v>
      </c>
      <c r="H28" s="435">
        <f>SUMIF(92:92,G28,93:93)-SUMIF(92:92,C28,93:93)+100</f>
        <v>100</v>
      </c>
      <c r="I28" s="616" t="s">
        <v>3130</v>
      </c>
      <c r="J28" s="435">
        <f>SUMIF(92:92,I28,93:93)-SUMIF(92:92,C28,93:93)+100</f>
        <v>100</v>
      </c>
      <c r="K28" s="613"/>
      <c r="L28" s="1141"/>
      <c r="M28" s="1132"/>
      <c r="N28" s="1132"/>
      <c r="O28" s="1132"/>
      <c r="P28" s="3273"/>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75"/>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73"/>
      <c r="Q29" s="1811">
        <f t="shared" si="11"/>
        <v>111</v>
      </c>
      <c r="R29" s="772" t="s">
        <v>17</v>
      </c>
      <c r="S29" s="773">
        <f t="shared" si="12"/>
        <v>100</v>
      </c>
      <c r="T29" s="772" t="s">
        <v>17</v>
      </c>
      <c r="U29" s="773">
        <f t="shared" si="13"/>
        <v>100</v>
      </c>
      <c r="V29" s="772" t="s">
        <v>17</v>
      </c>
      <c r="W29" s="773">
        <f t="shared" si="14"/>
        <v>100</v>
      </c>
      <c r="X29" s="1814"/>
      <c r="Y29" s="3275"/>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73"/>
      <c r="Q30" s="1811">
        <f t="shared" si="11"/>
        <v>111</v>
      </c>
      <c r="R30" s="772" t="s">
        <v>17</v>
      </c>
      <c r="S30" s="773">
        <f t="shared" si="12"/>
        <v>100</v>
      </c>
      <c r="T30" s="772" t="s">
        <v>17</v>
      </c>
      <c r="U30" s="773">
        <f t="shared" si="13"/>
        <v>100</v>
      </c>
      <c r="V30" s="772" t="s">
        <v>17</v>
      </c>
      <c r="W30" s="773">
        <f t="shared" si="14"/>
        <v>100</v>
      </c>
      <c r="X30" s="1814"/>
      <c r="Y30" s="3275"/>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73"/>
      <c r="Q31" s="1811">
        <f t="shared" si="11"/>
        <v>111</v>
      </c>
      <c r="R31" s="772" t="s">
        <v>17</v>
      </c>
      <c r="S31" s="773">
        <f t="shared" si="12"/>
        <v>100</v>
      </c>
      <c r="T31" s="772" t="s">
        <v>17</v>
      </c>
      <c r="U31" s="773">
        <f t="shared" si="13"/>
        <v>100</v>
      </c>
      <c r="V31" s="772" t="s">
        <v>17</v>
      </c>
      <c r="W31" s="773">
        <f t="shared" si="14"/>
        <v>100</v>
      </c>
      <c r="X31" s="1814"/>
      <c r="Y31" s="3275"/>
      <c r="Z31" s="1815">
        <f t="shared" si="15"/>
        <v>111</v>
      </c>
      <c r="AA31" s="1812">
        <f t="shared" si="3"/>
        <v>1</v>
      </c>
      <c r="AB31" s="1812">
        <f t="shared" si="4"/>
        <v>1</v>
      </c>
      <c r="AC31" s="1812">
        <f t="shared" si="5"/>
        <v>1</v>
      </c>
    </row>
    <row r="32" spans="1:29" ht="15">
      <c r="A32" s="440" t="s">
        <v>2558</v>
      </c>
      <c r="B32" s="71" t="s">
        <v>2655</v>
      </c>
      <c r="C32" s="2620" t="s">
        <v>3193</v>
      </c>
      <c r="D32" s="467">
        <v>100</v>
      </c>
      <c r="E32" s="2620" t="s">
        <v>3131</v>
      </c>
      <c r="F32" s="461">
        <f>SUMIF(100:100,E32,101:101)-SUMIF(100:100,C32,101:101)+100</f>
        <v>94</v>
      </c>
      <c r="G32" s="2620" t="s">
        <v>3131</v>
      </c>
      <c r="H32" s="435">
        <f>SUMIF(100:100,G32,101:101)-SUMIF(100:100,C32,101:101)+100</f>
        <v>94</v>
      </c>
      <c r="I32" s="2620" t="s">
        <v>3131</v>
      </c>
      <c r="J32" s="467">
        <f>SUMIF(100:100,I32,101:101)-SUMIF(100:100,C32,101:101)+100</f>
        <v>94</v>
      </c>
      <c r="K32" s="612">
        <v>2</v>
      </c>
      <c r="L32" s="1141"/>
      <c r="M32" s="1132"/>
      <c r="N32" s="1132"/>
      <c r="O32" s="1132"/>
      <c r="P32" s="3276" t="s">
        <v>2560</v>
      </c>
      <c r="Q32" s="1811" t="str">
        <f t="shared" si="11"/>
        <v>商业类型</v>
      </c>
      <c r="R32" s="772" t="s">
        <v>17</v>
      </c>
      <c r="S32" s="773">
        <f t="shared" si="12"/>
        <v>94</v>
      </c>
      <c r="T32" s="772" t="s">
        <v>17</v>
      </c>
      <c r="U32" s="773">
        <f t="shared" si="13"/>
        <v>94</v>
      </c>
      <c r="V32" s="772" t="s">
        <v>17</v>
      </c>
      <c r="W32" s="773">
        <f t="shared" si="14"/>
        <v>94</v>
      </c>
      <c r="X32" s="1814"/>
      <c r="Y32" s="3279" t="s">
        <v>2560</v>
      </c>
      <c r="Z32" s="1815" t="str">
        <f t="shared" si="15"/>
        <v>商业类型</v>
      </c>
      <c r="AA32" s="1812">
        <f t="shared" si="3"/>
        <v>1.0638297872340425</v>
      </c>
      <c r="AB32" s="1812">
        <f t="shared" si="4"/>
        <v>1.0638297872340425</v>
      </c>
      <c r="AC32" s="1812">
        <f t="shared" si="5"/>
        <v>1.0638297872340425</v>
      </c>
    </row>
    <row r="33" spans="1:29" s="471" customFormat="1" ht="15">
      <c r="A33" s="468"/>
      <c r="B33" s="422" t="s">
        <v>2561</v>
      </c>
      <c r="C33" s="469">
        <f>'数据-基础表'!I13</f>
        <v>420.78</v>
      </c>
      <c r="D33" s="136">
        <v>100</v>
      </c>
      <c r="E33" s="430">
        <v>530</v>
      </c>
      <c r="F33" s="425">
        <f>LOOKUP(E33,103:103,104:104)-LOOKUP(C33,103:103,104:104)+100</f>
        <v>98</v>
      </c>
      <c r="G33" s="429">
        <v>136</v>
      </c>
      <c r="H33" s="136">
        <f>LOOKUP(G33,103:103,104:104)-LOOKUP(C33,103:103,104:104)+100</f>
        <v>102</v>
      </c>
      <c r="I33" s="429">
        <v>90</v>
      </c>
      <c r="J33" s="136">
        <f>LOOKUP(I33,103:103,104:104)-LOOKUP(C33,103:103,104:104)+100</f>
        <v>104</v>
      </c>
      <c r="K33" s="613"/>
      <c r="L33" s="1139"/>
      <c r="M33" s="1142"/>
      <c r="N33" s="1142"/>
      <c r="O33" s="1142"/>
      <c r="P33" s="3277"/>
      <c r="Q33" s="774" t="str">
        <f t="shared" si="11"/>
        <v>项目建筑规模</v>
      </c>
      <c r="R33" s="775" t="s">
        <v>17</v>
      </c>
      <c r="S33" s="776">
        <f t="shared" si="12"/>
        <v>98</v>
      </c>
      <c r="T33" s="775" t="s">
        <v>17</v>
      </c>
      <c r="U33" s="776">
        <f t="shared" si="13"/>
        <v>102</v>
      </c>
      <c r="V33" s="775" t="s">
        <v>17</v>
      </c>
      <c r="W33" s="776">
        <f t="shared" si="14"/>
        <v>104</v>
      </c>
      <c r="X33" s="777"/>
      <c r="Y33" s="3279"/>
      <c r="Z33" s="778" t="str">
        <f t="shared" si="15"/>
        <v>项目建筑规模</v>
      </c>
      <c r="AA33" s="1812">
        <f t="shared" si="3"/>
        <v>1.0204081632653061</v>
      </c>
      <c r="AB33" s="1812">
        <f t="shared" si="4"/>
        <v>0.98039215686274506</v>
      </c>
      <c r="AC33" s="1812">
        <f t="shared" si="5"/>
        <v>0.96153846153846156</v>
      </c>
    </row>
    <row r="34" spans="1:29" ht="15">
      <c r="A34" s="472"/>
      <c r="B34" s="422" t="s">
        <v>2562</v>
      </c>
      <c r="C34" s="2622" t="s">
        <v>3135</v>
      </c>
      <c r="D34" s="435">
        <v>100</v>
      </c>
      <c r="E34" s="2622" t="s">
        <v>3135</v>
      </c>
      <c r="F34" s="461">
        <f>SUMIF(105:105,E34,106:106)-SUMIF(105:105,C34,106:106)+100</f>
        <v>100</v>
      </c>
      <c r="G34" s="2622" t="s">
        <v>3135</v>
      </c>
      <c r="H34" s="435">
        <f>SUMIF(105:105,G34,106:106)-SUMIF(105:105,C34,106:106)+100</f>
        <v>100</v>
      </c>
      <c r="I34" s="2622" t="s">
        <v>3135</v>
      </c>
      <c r="J34" s="435">
        <f>SUMIF(105:105,I34,106:106)-SUMIF(105:105,C34,106:106)+100</f>
        <v>100</v>
      </c>
      <c r="K34" s="612">
        <v>2</v>
      </c>
      <c r="L34" s="1141"/>
      <c r="M34" s="1132"/>
      <c r="N34" s="1132"/>
      <c r="O34" s="1132"/>
      <c r="P34" s="3277"/>
      <c r="Q34" s="1811" t="str">
        <f t="shared" si="11"/>
        <v>建筑结构</v>
      </c>
      <c r="R34" s="772" t="s">
        <v>17</v>
      </c>
      <c r="S34" s="773">
        <f t="shared" si="12"/>
        <v>100</v>
      </c>
      <c r="T34" s="772" t="s">
        <v>17</v>
      </c>
      <c r="U34" s="773">
        <f t="shared" si="13"/>
        <v>100</v>
      </c>
      <c r="V34" s="772" t="s">
        <v>17</v>
      </c>
      <c r="W34" s="773">
        <f t="shared" si="14"/>
        <v>100</v>
      </c>
      <c r="X34" s="1814"/>
      <c r="Y34" s="3279"/>
      <c r="Z34" s="1815" t="str">
        <f t="shared" si="15"/>
        <v>建筑结构</v>
      </c>
      <c r="AA34" s="1812">
        <f t="shared" si="3"/>
        <v>1</v>
      </c>
      <c r="AB34" s="1812">
        <f t="shared" si="4"/>
        <v>1</v>
      </c>
      <c r="AC34" s="1812">
        <f t="shared" si="5"/>
        <v>1</v>
      </c>
    </row>
    <row r="35" spans="1:29" ht="15">
      <c r="A35" s="472"/>
      <c r="B35" s="422" t="s">
        <v>2656</v>
      </c>
      <c r="C35" s="2616" t="s">
        <v>3136</v>
      </c>
      <c r="D35" s="435">
        <v>100</v>
      </c>
      <c r="E35" s="2616" t="s">
        <v>3136</v>
      </c>
      <c r="F35" s="461">
        <f>SUMIF(107:107,E35,108:108)-SUMIF(107:107,C35,108:108)+100</f>
        <v>100</v>
      </c>
      <c r="G35" s="2616" t="s">
        <v>3136</v>
      </c>
      <c r="H35" s="435">
        <f>SUMIF(107:107,G35,108:108)-SUMIF(107:107,C35,108:108)+100</f>
        <v>100</v>
      </c>
      <c r="I35" s="2616" t="s">
        <v>3136</v>
      </c>
      <c r="J35" s="435">
        <f>SUMIF(107:107,I35,108:108)-SUMIF(107:107,C35,108:108)+100</f>
        <v>100</v>
      </c>
      <c r="K35" s="612">
        <v>2</v>
      </c>
      <c r="L35" s="1141"/>
      <c r="M35" s="1132"/>
      <c r="N35" s="1132"/>
      <c r="O35" s="1132"/>
      <c r="P35" s="3277"/>
      <c r="Q35" s="1811" t="str">
        <f t="shared" si="11"/>
        <v>公共部分装修</v>
      </c>
      <c r="R35" s="772" t="s">
        <v>17</v>
      </c>
      <c r="S35" s="773">
        <f t="shared" si="12"/>
        <v>100</v>
      </c>
      <c r="T35" s="772" t="s">
        <v>17</v>
      </c>
      <c r="U35" s="773">
        <f t="shared" si="13"/>
        <v>100</v>
      </c>
      <c r="V35" s="772" t="s">
        <v>17</v>
      </c>
      <c r="W35" s="773">
        <f t="shared" si="14"/>
        <v>100</v>
      </c>
      <c r="X35" s="1814"/>
      <c r="Y35" s="3279"/>
      <c r="Z35" s="1815" t="str">
        <f t="shared" si="15"/>
        <v>公共部分装修</v>
      </c>
      <c r="AA35" s="1812">
        <f t="shared" si="3"/>
        <v>1</v>
      </c>
      <c r="AB35" s="1812">
        <f t="shared" si="4"/>
        <v>1</v>
      </c>
      <c r="AC35" s="1812">
        <f t="shared" si="5"/>
        <v>1</v>
      </c>
    </row>
    <row r="36" spans="1:29" ht="15">
      <c r="A36" s="472"/>
      <c r="B36" s="422" t="s">
        <v>2657</v>
      </c>
      <c r="C36" s="474">
        <v>0.77</v>
      </c>
      <c r="D36" s="435">
        <v>100</v>
      </c>
      <c r="E36" s="474">
        <v>0.85</v>
      </c>
      <c r="F36" s="461">
        <f>LOOKUP(E36,110:110,111:111)-LOOKUP(C36,110:110,111:111)+100</f>
        <v>101</v>
      </c>
      <c r="G36" s="474">
        <v>0.85</v>
      </c>
      <c r="H36" s="461">
        <f>LOOKUP(G36,110:110,111:111)-LOOKUP(C36,110:110,111:111)+100</f>
        <v>101</v>
      </c>
      <c r="I36" s="474">
        <v>0.82</v>
      </c>
      <c r="J36" s="435">
        <f>LOOKUP(I36,110:110,111:111)-LOOKUP(C36,110:110,111:111)+100</f>
        <v>101</v>
      </c>
      <c r="K36" s="612">
        <v>1</v>
      </c>
      <c r="L36" s="1141"/>
      <c r="M36" s="1132"/>
      <c r="N36" s="1132"/>
      <c r="O36" s="1132"/>
      <c r="P36" s="3277"/>
      <c r="Q36" s="1811" t="str">
        <f t="shared" si="11"/>
        <v>成新度</v>
      </c>
      <c r="R36" s="772" t="s">
        <v>17</v>
      </c>
      <c r="S36" s="773">
        <f t="shared" si="12"/>
        <v>101</v>
      </c>
      <c r="T36" s="772" t="s">
        <v>17</v>
      </c>
      <c r="U36" s="773">
        <f t="shared" si="13"/>
        <v>101</v>
      </c>
      <c r="V36" s="772" t="s">
        <v>17</v>
      </c>
      <c r="W36" s="773">
        <f t="shared" si="14"/>
        <v>101</v>
      </c>
      <c r="X36" s="1814"/>
      <c r="Y36" s="3279"/>
      <c r="Z36" s="1815" t="str">
        <f t="shared" si="15"/>
        <v>成新度</v>
      </c>
      <c r="AA36" s="1812">
        <f t="shared" si="3"/>
        <v>0.99009900990099009</v>
      </c>
      <c r="AB36" s="1812">
        <f t="shared" si="4"/>
        <v>0.99009900990099009</v>
      </c>
      <c r="AC36" s="1812">
        <f t="shared" si="5"/>
        <v>0.99009900990099009</v>
      </c>
    </row>
    <row r="37" spans="1:29" s="117" customFormat="1" ht="15">
      <c r="A37" s="473"/>
      <c r="B37" s="422" t="s">
        <v>2658</v>
      </c>
      <c r="C37" s="2616" t="s">
        <v>3138</v>
      </c>
      <c r="D37" s="136">
        <v>100</v>
      </c>
      <c r="E37" s="3048" t="s">
        <v>3140</v>
      </c>
      <c r="F37" s="461">
        <f>SUMIF(112:112,E37,113:113)-SUMIF(112:112,C37,113:113)+100</f>
        <v>102</v>
      </c>
      <c r="G37" s="2616" t="s">
        <v>3140</v>
      </c>
      <c r="H37" s="435">
        <f>SUMIF(112:112,G37,113:113)-SUMIF(112:112,C37,113:113)+100</f>
        <v>102</v>
      </c>
      <c r="I37" s="2616" t="s">
        <v>3140</v>
      </c>
      <c r="J37" s="435">
        <f>SUMIF(112:112,I37,113:113)-SUMIF(112:112,C37,113:113)+100</f>
        <v>102</v>
      </c>
      <c r="K37" s="612">
        <v>1</v>
      </c>
      <c r="L37" s="1133"/>
      <c r="M37" s="1134"/>
      <c r="N37" s="1134"/>
      <c r="O37" s="1134"/>
      <c r="P37" s="3277"/>
      <c r="Q37" s="1796" t="str">
        <f t="shared" si="11"/>
        <v>市政基础设施</v>
      </c>
      <c r="R37" s="768" t="s">
        <v>17</v>
      </c>
      <c r="S37" s="769">
        <f t="shared" si="12"/>
        <v>102</v>
      </c>
      <c r="T37" s="768" t="s">
        <v>17</v>
      </c>
      <c r="U37" s="769">
        <f t="shared" si="13"/>
        <v>102</v>
      </c>
      <c r="V37" s="768" t="s">
        <v>17</v>
      </c>
      <c r="W37" s="769">
        <f t="shared" si="14"/>
        <v>102</v>
      </c>
      <c r="X37" s="770"/>
      <c r="Y37" s="3279"/>
      <c r="Z37" s="55" t="str">
        <f t="shared" si="15"/>
        <v>市政基础设施</v>
      </c>
      <c r="AA37" s="771">
        <f t="shared" si="3"/>
        <v>0.98039215686274506</v>
      </c>
      <c r="AB37" s="771">
        <f t="shared" si="4"/>
        <v>0.98039215686274506</v>
      </c>
      <c r="AC37" s="771">
        <f t="shared" si="5"/>
        <v>0.98039215686274506</v>
      </c>
    </row>
    <row r="38" spans="1:29" ht="15">
      <c r="A38" s="472"/>
      <c r="B38" s="422" t="s">
        <v>2659</v>
      </c>
      <c r="C38" s="2616" t="s">
        <v>3121</v>
      </c>
      <c r="D38" s="435">
        <v>100</v>
      </c>
      <c r="E38" s="2616" t="s">
        <v>3121</v>
      </c>
      <c r="F38" s="461">
        <f>SUMIF(114:114,E38,115:115)-SUMIF(114:114,C38,115:115)+100</f>
        <v>100</v>
      </c>
      <c r="G38" s="2616" t="s">
        <v>3122</v>
      </c>
      <c r="H38" s="435">
        <f>SUMIF(114:114,G38,115:115)-SUMIF(114:114,C38,115:115)+100</f>
        <v>103</v>
      </c>
      <c r="I38" s="2616" t="s">
        <v>3121</v>
      </c>
      <c r="J38" s="435">
        <f>SUMIF(114:114,I38,115:115)-SUMIF(114:114,C38,115:115)+100</f>
        <v>100</v>
      </c>
      <c r="K38" s="612">
        <v>3</v>
      </c>
      <c r="L38" s="1141"/>
      <c r="M38" s="1132"/>
      <c r="N38" s="1132"/>
      <c r="O38" s="1132"/>
      <c r="P38" s="3277" t="s">
        <v>2560</v>
      </c>
      <c r="Q38" s="1811" t="str">
        <f t="shared" si="11"/>
        <v>业态</v>
      </c>
      <c r="R38" s="772" t="s">
        <v>17</v>
      </c>
      <c r="S38" s="773">
        <f t="shared" si="12"/>
        <v>100</v>
      </c>
      <c r="T38" s="772" t="s">
        <v>17</v>
      </c>
      <c r="U38" s="773">
        <f t="shared" si="13"/>
        <v>103</v>
      </c>
      <c r="V38" s="772" t="s">
        <v>17</v>
      </c>
      <c r="W38" s="773">
        <f t="shared" si="14"/>
        <v>100</v>
      </c>
      <c r="X38" s="1814"/>
      <c r="Y38" s="3279" t="s">
        <v>2560</v>
      </c>
      <c r="Z38" s="1815" t="str">
        <f t="shared" si="15"/>
        <v>业态</v>
      </c>
      <c r="AA38" s="1812">
        <f t="shared" si="3"/>
        <v>1</v>
      </c>
      <c r="AB38" s="1812">
        <f t="shared" si="4"/>
        <v>0.970873786407767</v>
      </c>
      <c r="AC38" s="1812">
        <f t="shared" si="5"/>
        <v>1</v>
      </c>
    </row>
    <row r="39" spans="1:29" ht="15">
      <c r="A39" s="472"/>
      <c r="B39" s="422" t="s">
        <v>2660</v>
      </c>
      <c r="C39" s="2616" t="s">
        <v>3141</v>
      </c>
      <c r="D39" s="435">
        <v>100</v>
      </c>
      <c r="E39" s="2616" t="s">
        <v>3141</v>
      </c>
      <c r="F39" s="461">
        <f>SUMIF(116:116,E39,117:117)-SUMIF(116:116,C39,117:117)+100</f>
        <v>100</v>
      </c>
      <c r="G39" s="2616" t="s">
        <v>3141</v>
      </c>
      <c r="H39" s="435">
        <f>SUMIF(116:116,G39,117:117)-SUMIF(116:116,C39,117:117)+100</f>
        <v>100</v>
      </c>
      <c r="I39" s="2616" t="s">
        <v>3141</v>
      </c>
      <c r="J39" s="435">
        <f>SUMIF(116:116,I39,117:117)-SUMIF(116:116,C39,117:117)+100</f>
        <v>100</v>
      </c>
      <c r="K39" s="612">
        <v>2</v>
      </c>
      <c r="L39" s="1141"/>
      <c r="M39" s="1132"/>
      <c r="N39" s="1132"/>
      <c r="O39" s="1132"/>
      <c r="P39" s="3277"/>
      <c r="Q39" s="1811" t="str">
        <f t="shared" si="11"/>
        <v>层高</v>
      </c>
      <c r="R39" s="772" t="s">
        <v>17</v>
      </c>
      <c r="S39" s="773">
        <f t="shared" si="12"/>
        <v>100</v>
      </c>
      <c r="T39" s="772" t="s">
        <v>17</v>
      </c>
      <c r="U39" s="773">
        <f t="shared" si="13"/>
        <v>100</v>
      </c>
      <c r="V39" s="772" t="s">
        <v>17</v>
      </c>
      <c r="W39" s="773">
        <f t="shared" si="14"/>
        <v>100</v>
      </c>
      <c r="X39" s="1814"/>
      <c r="Y39" s="3279"/>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77"/>
      <c r="Q40" s="1811" t="str">
        <f t="shared" si="11"/>
        <v>单套建筑面积</v>
      </c>
      <c r="R40" s="772" t="s">
        <v>17</v>
      </c>
      <c r="S40" s="773">
        <f t="shared" si="12"/>
        <v>100</v>
      </c>
      <c r="T40" s="772" t="s">
        <v>17</v>
      </c>
      <c r="U40" s="773">
        <f t="shared" si="13"/>
        <v>100</v>
      </c>
      <c r="V40" s="772" t="s">
        <v>17</v>
      </c>
      <c r="W40" s="773">
        <f t="shared" si="14"/>
        <v>100</v>
      </c>
      <c r="X40" s="1814"/>
      <c r="Y40" s="3279"/>
      <c r="Z40" s="1815" t="str">
        <f t="shared" si="15"/>
        <v>单套建筑面积</v>
      </c>
      <c r="AA40" s="1812">
        <f t="shared" si="3"/>
        <v>1</v>
      </c>
      <c r="AB40" s="1812">
        <f t="shared" si="4"/>
        <v>1</v>
      </c>
      <c r="AC40" s="1812">
        <f t="shared" si="5"/>
        <v>1</v>
      </c>
    </row>
    <row r="41" spans="1:29" s="471" customFormat="1" ht="15">
      <c r="A41" s="468"/>
      <c r="B41" s="1813" t="s">
        <v>2662</v>
      </c>
      <c r="C41" s="616" t="s">
        <v>3112</v>
      </c>
      <c r="D41" s="435">
        <v>100</v>
      </c>
      <c r="E41" s="616" t="s">
        <v>3112</v>
      </c>
      <c r="F41" s="461">
        <f>SUMIF(120:120,E41,121:121)-SUMIF(120:120,C41,121:121)+100</f>
        <v>100</v>
      </c>
      <c r="G41" s="616" t="s">
        <v>3112</v>
      </c>
      <c r="H41" s="435">
        <f>SUMIF(120:120,G41,121:121)-SUMIF(120:120,C41,121:121)+100</f>
        <v>100</v>
      </c>
      <c r="I41" s="616" t="s">
        <v>3112</v>
      </c>
      <c r="J41" s="435">
        <f>SUMIF(120:120,I41,121:121)-SUMIF(120:120,C41,121:121)+100</f>
        <v>100</v>
      </c>
      <c r="K41" s="612">
        <v>2</v>
      </c>
      <c r="L41" s="1139"/>
      <c r="M41" s="1142"/>
      <c r="N41" s="1142"/>
      <c r="O41" s="1142"/>
      <c r="P41" s="3277"/>
      <c r="Q41" s="774" t="str">
        <f t="shared" si="11"/>
        <v>进深比</v>
      </c>
      <c r="R41" s="775" t="s">
        <v>17</v>
      </c>
      <c r="S41" s="776">
        <f t="shared" si="12"/>
        <v>100</v>
      </c>
      <c r="T41" s="775" t="s">
        <v>17</v>
      </c>
      <c r="U41" s="776">
        <f t="shared" si="13"/>
        <v>100</v>
      </c>
      <c r="V41" s="775" t="s">
        <v>17</v>
      </c>
      <c r="W41" s="776">
        <f t="shared" si="14"/>
        <v>100</v>
      </c>
      <c r="X41" s="777"/>
      <c r="Y41" s="3279"/>
      <c r="Z41" s="778" t="str">
        <f t="shared" si="15"/>
        <v>进深比</v>
      </c>
      <c r="AA41" s="1812">
        <f t="shared" si="3"/>
        <v>1</v>
      </c>
      <c r="AB41" s="1812">
        <f t="shared" si="4"/>
        <v>1</v>
      </c>
      <c r="AC41" s="1812">
        <f t="shared" si="5"/>
        <v>1</v>
      </c>
    </row>
    <row r="42" spans="1:29" ht="15">
      <c r="A42" s="472"/>
      <c r="B42" s="422" t="s">
        <v>2663</v>
      </c>
      <c r="C42" s="2616" t="s">
        <v>3136</v>
      </c>
      <c r="D42" s="435">
        <v>100</v>
      </c>
      <c r="E42" s="2616" t="s">
        <v>3194</v>
      </c>
      <c r="F42" s="461">
        <f>SUMIF(122:122,E42,123:123)-SUMIF(122:122,C42,123:123)+100</f>
        <v>98</v>
      </c>
      <c r="G42" s="2616" t="s">
        <v>3136</v>
      </c>
      <c r="H42" s="435">
        <f>SUMIF(122:122,G42,123:123)-SUMIF(122:122,C42,123:123)+100</f>
        <v>100</v>
      </c>
      <c r="I42" s="2616" t="s">
        <v>3136</v>
      </c>
      <c r="J42" s="435">
        <f>SUMIF(122:122,I42,123:123)-SUMIF(122:122,C42,123:123)+100</f>
        <v>100</v>
      </c>
      <c r="K42" s="612">
        <v>2</v>
      </c>
      <c r="L42" s="1141"/>
      <c r="M42" s="1132"/>
      <c r="N42" s="1132"/>
      <c r="O42" s="1132"/>
      <c r="P42" s="3277"/>
      <c r="Q42" s="1811" t="str">
        <f t="shared" si="11"/>
        <v>内部装修</v>
      </c>
      <c r="R42" s="772" t="s">
        <v>17</v>
      </c>
      <c r="S42" s="773">
        <f t="shared" si="12"/>
        <v>98</v>
      </c>
      <c r="T42" s="772" t="s">
        <v>17</v>
      </c>
      <c r="U42" s="773">
        <f t="shared" si="13"/>
        <v>100</v>
      </c>
      <c r="V42" s="772" t="s">
        <v>17</v>
      </c>
      <c r="W42" s="773">
        <f t="shared" si="14"/>
        <v>100</v>
      </c>
      <c r="X42" s="1814"/>
      <c r="Y42" s="3279"/>
      <c r="Z42" s="1815" t="str">
        <f t="shared" si="15"/>
        <v>内部装修</v>
      </c>
      <c r="AA42" s="1812">
        <f t="shared" si="3"/>
        <v>1.0204081632653061</v>
      </c>
      <c r="AB42" s="1812">
        <f t="shared" si="4"/>
        <v>1</v>
      </c>
      <c r="AC42" s="1812">
        <f t="shared" si="5"/>
        <v>1</v>
      </c>
    </row>
    <row r="43" spans="1:29" ht="15">
      <c r="A43" s="472"/>
      <c r="B43" s="422" t="s">
        <v>2571</v>
      </c>
      <c r="C43" s="2616" t="s">
        <v>3124</v>
      </c>
      <c r="D43" s="435">
        <v>100</v>
      </c>
      <c r="E43" s="2616" t="s">
        <v>3124</v>
      </c>
      <c r="F43" s="461">
        <f>SUMIF(124:124,E43,125:125)-SUMIF(124:124,C43,125:125)+100</f>
        <v>100</v>
      </c>
      <c r="G43" s="2616" t="s">
        <v>3124</v>
      </c>
      <c r="H43" s="435">
        <f>SUMIF(124:124,G43,125:125)-SUMIF(124:124,C43,125:125)+100</f>
        <v>100</v>
      </c>
      <c r="I43" s="2616" t="s">
        <v>3124</v>
      </c>
      <c r="J43" s="435">
        <f>SUMIF(124:124,I43,125:125)-SUMIF(124:124,C43,125:125)+100</f>
        <v>100</v>
      </c>
      <c r="K43" s="612">
        <v>2</v>
      </c>
      <c r="L43" s="1141"/>
      <c r="M43" s="1132"/>
      <c r="N43" s="1132"/>
      <c r="O43" s="1132"/>
      <c r="P43" s="3277"/>
      <c r="Q43" s="1811" t="str">
        <f t="shared" si="11"/>
        <v>内部装修维护情况</v>
      </c>
      <c r="R43" s="772" t="s">
        <v>17</v>
      </c>
      <c r="S43" s="773">
        <f t="shared" si="12"/>
        <v>100</v>
      </c>
      <c r="T43" s="772" t="s">
        <v>17</v>
      </c>
      <c r="U43" s="773">
        <f t="shared" si="13"/>
        <v>100</v>
      </c>
      <c r="V43" s="772" t="s">
        <v>17</v>
      </c>
      <c r="W43" s="773">
        <f t="shared" si="14"/>
        <v>100</v>
      </c>
      <c r="X43" s="1814"/>
      <c r="Y43" s="3279"/>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77"/>
      <c r="Q44" s="1796">
        <f t="shared" si="11"/>
        <v>111</v>
      </c>
      <c r="R44" s="768" t="s">
        <v>17</v>
      </c>
      <c r="S44" s="769">
        <f t="shared" si="12"/>
        <v>100</v>
      </c>
      <c r="T44" s="768" t="s">
        <v>17</v>
      </c>
      <c r="U44" s="769">
        <f t="shared" si="13"/>
        <v>100</v>
      </c>
      <c r="V44" s="768" t="s">
        <v>17</v>
      </c>
      <c r="W44" s="769">
        <f t="shared" si="14"/>
        <v>100</v>
      </c>
      <c r="X44" s="770"/>
      <c r="Y44" s="3279"/>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77"/>
      <c r="Q45" s="1811">
        <f t="shared" si="11"/>
        <v>111</v>
      </c>
      <c r="R45" s="772" t="s">
        <v>17</v>
      </c>
      <c r="S45" s="773">
        <f t="shared" si="12"/>
        <v>100</v>
      </c>
      <c r="T45" s="772" t="s">
        <v>17</v>
      </c>
      <c r="U45" s="773">
        <f t="shared" si="13"/>
        <v>100</v>
      </c>
      <c r="V45" s="772" t="s">
        <v>17</v>
      </c>
      <c r="W45" s="773">
        <f t="shared" si="14"/>
        <v>100</v>
      </c>
      <c r="X45" s="1814"/>
      <c r="Y45" s="3279"/>
      <c r="Z45" s="1815">
        <f t="shared" si="15"/>
        <v>111</v>
      </c>
      <c r="AA45" s="1812">
        <f t="shared" si="3"/>
        <v>1</v>
      </c>
      <c r="AB45" s="1812">
        <f t="shared" si="4"/>
        <v>1</v>
      </c>
      <c r="AC45" s="1812">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78"/>
      <c r="Q46" s="1811">
        <f t="shared" si="11"/>
        <v>0.95</v>
      </c>
      <c r="R46" s="772" t="s">
        <v>17</v>
      </c>
      <c r="S46" s="773">
        <f t="shared" si="12"/>
        <v>100</v>
      </c>
      <c r="T46" s="772" t="s">
        <v>17</v>
      </c>
      <c r="U46" s="773">
        <f t="shared" si="13"/>
        <v>100</v>
      </c>
      <c r="V46" s="772" t="s">
        <v>17</v>
      </c>
      <c r="W46" s="773">
        <f t="shared" si="14"/>
        <v>100</v>
      </c>
      <c r="X46" s="1814"/>
      <c r="Y46" s="3280"/>
      <c r="Z46" s="1815">
        <f t="shared" si="15"/>
        <v>0.95</v>
      </c>
      <c r="AA46" s="1812">
        <f t="shared" si="3"/>
        <v>1</v>
      </c>
      <c r="AB46" s="1812">
        <f t="shared" si="4"/>
        <v>1</v>
      </c>
      <c r="AC46" s="1812">
        <f t="shared" si="5"/>
        <v>1</v>
      </c>
    </row>
    <row r="47" spans="1:29" ht="15">
      <c r="A47" s="479" t="s">
        <v>2572</v>
      </c>
      <c r="B47" s="480"/>
      <c r="C47" s="1408" t="s">
        <v>1</v>
      </c>
      <c r="D47" s="1409"/>
      <c r="E47" s="1410">
        <f>ROUND(51189*B46,0)</f>
        <v>48630</v>
      </c>
      <c r="F47" s="1411"/>
      <c r="G47" s="1412">
        <f>ROUND(48824*B46,0)</f>
        <v>46383</v>
      </c>
      <c r="H47" s="1413"/>
      <c r="I47" s="1410">
        <f>ROUND(50000*B46,0)</f>
        <v>47500</v>
      </c>
      <c r="J47" s="1413"/>
      <c r="K47" s="781"/>
      <c r="L47" s="1144"/>
      <c r="M47" s="1145"/>
      <c r="N47" s="1132"/>
      <c r="O47" s="1145"/>
      <c r="P47" s="3281" t="str">
        <f>A47</f>
        <v>成交单价（元/平方米）</v>
      </c>
      <c r="Q47" s="3281"/>
      <c r="R47" s="3241">
        <f>E47</f>
        <v>48630</v>
      </c>
      <c r="S47" s="3241"/>
      <c r="T47" s="3241">
        <f>G47</f>
        <v>46383</v>
      </c>
      <c r="U47" s="3241"/>
      <c r="V47" s="3241">
        <f>I47</f>
        <v>47500</v>
      </c>
      <c r="W47" s="3241"/>
      <c r="X47" s="757"/>
      <c r="Y47" s="779"/>
      <c r="Z47" s="757"/>
      <c r="AA47" s="757"/>
      <c r="AB47" s="757"/>
      <c r="AC47" s="757"/>
    </row>
    <row r="48" spans="1:29" ht="15.75" thickBot="1">
      <c r="A48" s="486" t="s">
        <v>2664</v>
      </c>
      <c r="B48" s="487"/>
      <c r="C48" s="1414">
        <f>R49</f>
        <v>45535</v>
      </c>
      <c r="D48" s="1415"/>
      <c r="E48" s="1416">
        <f>R48</f>
        <v>47373</v>
      </c>
      <c r="F48" s="1416"/>
      <c r="G48" s="1414">
        <f>T48</f>
        <v>43859</v>
      </c>
      <c r="H48" s="1415"/>
      <c r="I48" s="1416">
        <f>V48</f>
        <v>45373</v>
      </c>
      <c r="J48" s="1415"/>
      <c r="K48" s="782"/>
      <c r="L48" s="1144"/>
      <c r="M48" s="1145"/>
      <c r="N48" s="1132"/>
      <c r="O48" s="1145"/>
      <c r="P48" s="3281" t="str">
        <f>A48</f>
        <v>比较价值（元/平方米）</v>
      </c>
      <c r="Q48" s="3281"/>
      <c r="R48" s="3282">
        <f>IF(F1="售价",ROUND(PRODUCT(R47,AA7:AA46),0),ROUND(PRODUCT(R47,AA7:AA46),1))</f>
        <v>47373</v>
      </c>
      <c r="S48" s="3282"/>
      <c r="T48" s="3282">
        <f>IF(F1="售价",ROUND(PRODUCT(T47,AB7:AB46),0),ROUND(PRODUCT(T47,AB7:AB46),1))</f>
        <v>43859</v>
      </c>
      <c r="U48" s="3282"/>
      <c r="V48" s="3282">
        <f>IF(F1="售价",ROUND(PRODUCT(V47,AC7:AC46),0),ROUND(PRODUCT(V47,AC7:AC46),1))</f>
        <v>45373</v>
      </c>
      <c r="W48" s="3282"/>
      <c r="X48" s="757"/>
      <c r="Y48" s="757"/>
      <c r="Z48" s="757"/>
      <c r="AA48" s="757"/>
      <c r="AB48" s="757"/>
      <c r="AC48" s="757"/>
    </row>
    <row r="49" spans="1:29" ht="15.75" thickBot="1">
      <c r="A49" s="492" t="s">
        <v>2665</v>
      </c>
      <c r="B49" s="493"/>
      <c r="C49" s="1418">
        <f>R49</f>
        <v>45535</v>
      </c>
      <c r="D49" s="1418"/>
      <c r="E49" s="1418"/>
      <c r="F49" s="1418"/>
      <c r="G49" s="1418"/>
      <c r="H49" s="1418"/>
      <c r="I49" s="1418"/>
      <c r="J49" s="1418"/>
      <c r="K49" s="783"/>
      <c r="L49" s="1144"/>
      <c r="M49" s="1145"/>
      <c r="N49" s="1132"/>
      <c r="O49" s="1145"/>
      <c r="P49" s="3283" t="str">
        <f>A49</f>
        <v>估价对象XX用房的比较价值（楼面单价，元/平方米）</v>
      </c>
      <c r="Q49" s="3284"/>
      <c r="R49" s="3285">
        <f>IF(F1="售价",ROUND(AVERAGE(R48:V48),0),ROUND(AVERAGE(R48:V48),1))</f>
        <v>45535</v>
      </c>
      <c r="S49" s="3285"/>
      <c r="T49" s="3285"/>
      <c r="U49" s="3285"/>
      <c r="V49" s="3285"/>
      <c r="W49" s="328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2.65341017035019E-2</v>
      </c>
      <c r="F52" s="500" t="str">
        <f>IF(OR(E52&gt;=0.3,E52&lt;=-0.3),"超过30%","")</f>
        <v/>
      </c>
      <c r="G52" s="499">
        <f>IF(G47&lt;G48,G48/G47-1,G47/G48-1)</f>
        <v>5.7548051711165282E-2</v>
      </c>
      <c r="H52" s="500" t="str">
        <f>IF(OR(G52&gt;=0.3,G52&lt;=-0.3),"超过30%","")</f>
        <v/>
      </c>
      <c r="I52" s="499">
        <f>IF(I47&lt;I48,I48/I47-1,I47/I48-1)</f>
        <v>4.6878099310162513E-2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8.0120385781709658E-2</v>
      </c>
      <c r="F53" s="500" t="str">
        <f>IF(OR(E53&gt;=0.2,E53&lt;=-0.2),"超过20%","")</f>
        <v/>
      </c>
      <c r="G53" s="499">
        <f>IF(G48&lt;I48,I48/G48-1,G48/I48-1)</f>
        <v>3.4519710891721234E-2</v>
      </c>
      <c r="H53" s="500" t="str">
        <f>IF(OR(G53&gt;=0.2,G53&lt;=-0.2),"超过20%","")</f>
        <v/>
      </c>
      <c r="I53" s="499">
        <f>IF(I48&lt;E48,E48/I48-1,I48/E48-1)</f>
        <v>4.4079077865690985E-2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4.8444473190608628E-2</v>
      </c>
      <c r="F54" s="500" t="str">
        <f>IF(OR(E54&gt;=0.3,E54&lt;=-0.3),"超过30%","")</f>
        <v/>
      </c>
      <c r="G54" s="499">
        <f>IF(G47&lt;I47,I47/G47-1,G47/I47-1)</f>
        <v>2.4082099044908656E-2</v>
      </c>
      <c r="H54" s="500" t="str">
        <f>IF(OR(G54&gt;=0.3,G54&lt;=-0.3),"超过30%","")</f>
        <v/>
      </c>
      <c r="I54" s="499">
        <f>IF(I47&lt;E47,E47/I47-1,I47/E47-1)</f>
        <v>2.3789473684210583E-2</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v>100</v>
      </c>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3082</v>
      </c>
      <c r="D86" s="2969" t="s">
        <v>3083</v>
      </c>
      <c r="E86" s="2969" t="s">
        <v>3084</v>
      </c>
      <c r="F86" s="2969" t="s">
        <v>3085</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3086</v>
      </c>
      <c r="D88" s="2969" t="s">
        <v>3087</v>
      </c>
      <c r="E88" s="2969" t="s">
        <v>3088</v>
      </c>
      <c r="F88" s="2970" t="s">
        <v>3089</v>
      </c>
      <c r="G88" s="2969" t="s">
        <v>3090</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3091</v>
      </c>
      <c r="D90" s="2969" t="s">
        <v>3092</v>
      </c>
      <c r="E90" s="2969" t="s">
        <v>3088</v>
      </c>
      <c r="F90" s="2969" t="s">
        <v>3089</v>
      </c>
      <c r="G90" s="2969" t="s">
        <v>3090</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3093</v>
      </c>
      <c r="D92" s="554" t="s">
        <v>3094</v>
      </c>
      <c r="E92" s="554" t="s">
        <v>3095</v>
      </c>
      <c r="F92" s="554" t="s">
        <v>3096</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3097</v>
      </c>
      <c r="D100" s="2971" t="s">
        <v>3098</v>
      </c>
      <c r="E100" s="2971" t="s">
        <v>3099</v>
      </c>
      <c r="F100" s="2971" t="s">
        <v>3100</v>
      </c>
      <c r="G100" s="2971" t="s">
        <v>3101</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3102</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3103</v>
      </c>
      <c r="D107" s="2969" t="s">
        <v>3104</v>
      </c>
      <c r="E107" s="2969" t="s">
        <v>3105</v>
      </c>
      <c r="F107" s="2972" t="s">
        <v>3106</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3107</v>
      </c>
      <c r="D112" s="2969" t="s">
        <v>3198</v>
      </c>
      <c r="E112" s="2969" t="s">
        <v>3199</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4"/>
      <c r="Q113" s="559"/>
    </row>
    <row r="114" spans="1:17" ht="15" thickTop="1">
      <c r="A114" s="599"/>
      <c r="B114" s="538" t="s">
        <v>2677</v>
      </c>
      <c r="C114" s="2969" t="s">
        <v>3108</v>
      </c>
      <c r="D114" s="2969" t="s">
        <v>3109</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3110</v>
      </c>
      <c r="D116" s="2969" t="s">
        <v>3111</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3113</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3103</v>
      </c>
      <c r="D122" s="2969" t="s">
        <v>3104</v>
      </c>
      <c r="E122" s="2969" t="s">
        <v>3105</v>
      </c>
      <c r="F122" s="2972" t="s">
        <v>3106</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3182</v>
      </c>
      <c r="D1" s="1821" t="s">
        <v>70</v>
      </c>
      <c r="E1" s="1822" t="s">
        <v>1387</v>
      </c>
      <c r="F1" s="1284" t="e">
        <f ca="1">J53</f>
        <v>#N/A</v>
      </c>
      <c r="G1" s="1837"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t="e">
        <f ca="1">C40+J29+L46</f>
        <v>#N/A</v>
      </c>
      <c r="C2" s="1846" t="s">
        <v>1515</v>
      </c>
      <c r="D2" s="1846"/>
      <c r="E2" s="1847"/>
      <c r="F2" s="1848"/>
      <c r="G2" s="1849"/>
      <c r="H2" s="1841"/>
      <c r="I2" s="1841"/>
      <c r="J2" s="1841"/>
      <c r="K2" s="1842"/>
      <c r="L2" s="1841"/>
      <c r="M2" s="1841"/>
    </row>
    <row r="3" spans="1:37" ht="18" customHeight="1" thickBot="1">
      <c r="A3" s="1850" t="s">
        <v>1516</v>
      </c>
      <c r="B3" s="1851">
        <f ca="1">IF(ISERROR(B2*10000/F43),0,ROUND(B2*10000/F43,0))</f>
        <v>0</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88" t="s">
        <v>1403</v>
      </c>
      <c r="C6" s="1297" t="e">
        <f ca="1">ROUND(F6*F8*F7*(1-F9)/10000,0)</f>
        <v>#N/A</v>
      </c>
      <c r="D6" s="164" t="s">
        <v>3027</v>
      </c>
      <c r="E6" s="347" t="s">
        <v>1405</v>
      </c>
      <c r="F6" s="348" t="e">
        <f ca="1">INDIRECT("'数据-取费表'!u"&amp;$G$1)</f>
        <v>#N/A</v>
      </c>
      <c r="G6" s="1852"/>
      <c r="H6" s="1292" t="s">
        <v>1035</v>
      </c>
      <c r="I6" s="3288" t="s">
        <v>1403</v>
      </c>
      <c r="J6" s="346" t="e">
        <f ca="1">ROUND(M6*M8*M7*(1-M9)/10000,0)</f>
        <v>#N/A</v>
      </c>
      <c r="K6" s="164" t="s">
        <v>3026</v>
      </c>
      <c r="L6" s="347" t="s">
        <v>1405</v>
      </c>
      <c r="M6" s="348" t="e">
        <f ca="1">INDIRECT("'数据-取费表'!z"&amp;$G$1)</f>
        <v>#N/A</v>
      </c>
    </row>
    <row r="7" spans="1:37" ht="18" customHeight="1">
      <c r="A7" s="1296"/>
      <c r="B7" s="3289"/>
      <c r="C7" s="1298"/>
      <c r="D7" s="352"/>
      <c r="E7" s="1299" t="s">
        <v>1406</v>
      </c>
      <c r="F7" s="348" t="e">
        <f ca="1">IF(INDIRECT("'数据-取费表'!ah"&amp;$G$1)="",INDIRECT("'数据-取费表'!k"&amp;$G$1),INDIRECT("'数据-取费表'!ah"&amp;$G$1))</f>
        <v>#N/A</v>
      </c>
      <c r="G7" s="1852"/>
      <c r="H7" s="349"/>
      <c r="I7" s="3289"/>
      <c r="J7" s="351"/>
      <c r="K7" s="352"/>
      <c r="L7" s="347" t="s">
        <v>1406</v>
      </c>
      <c r="M7" s="348" t="e">
        <f ca="1">F7</f>
        <v>#N/A</v>
      </c>
    </row>
    <row r="8" spans="1:37" ht="18" customHeight="1">
      <c r="A8" s="349"/>
      <c r="B8" s="3289"/>
      <c r="C8" s="351"/>
      <c r="D8" s="352"/>
      <c r="E8" s="347" t="s">
        <v>1407</v>
      </c>
      <c r="F8" s="348" t="e">
        <f ca="1">INDIRECT("'数据-取费表'!ai"&amp;$G$1)</f>
        <v>#N/A</v>
      </c>
      <c r="G8" s="1852"/>
      <c r="H8" s="349"/>
      <c r="I8" s="3289"/>
      <c r="J8" s="351"/>
      <c r="K8" s="352"/>
      <c r="L8" s="347" t="s">
        <v>1407</v>
      </c>
      <c r="M8" s="348" t="e">
        <f ca="1">INDIRECT("'数据-取费表'!ai"&amp;$G$1)</f>
        <v>#N/A</v>
      </c>
    </row>
    <row r="9" spans="1:37" ht="18" customHeight="1">
      <c r="A9" s="349"/>
      <c r="B9" s="3290"/>
      <c r="C9" s="351"/>
      <c r="D9" s="352"/>
      <c r="E9" s="347" t="s">
        <v>1408</v>
      </c>
      <c r="F9" s="357" t="e">
        <f ca="1">INDIRECT("'数据-取费表'!w"&amp;$G$1)</f>
        <v>#N/A</v>
      </c>
      <c r="G9" s="1852"/>
      <c r="H9" s="349"/>
      <c r="I9" s="3290"/>
      <c r="J9" s="351"/>
      <c r="K9" s="352"/>
      <c r="L9" s="358" t="s">
        <v>1408</v>
      </c>
      <c r="M9" s="359" t="e">
        <f ca="1">INDIRECT("'数据-取费表'!ab"&amp;$G$1)</f>
        <v>#N/A</v>
      </c>
    </row>
    <row r="10" spans="1:37" ht="18" customHeight="1">
      <c r="A10" s="1292" t="s">
        <v>1039</v>
      </c>
      <c r="B10" s="1824" t="s">
        <v>1409</v>
      </c>
      <c r="C10" s="361" t="e">
        <f ca="1">ROUND(IF(F10="押一",C6/12*F11,IF(F10="押二",C6/12*2*F11,IF(F10="押三",C6/12*3*F11,C11*F11))),0)</f>
        <v>#N/A</v>
      </c>
      <c r="D10" s="1825" t="s">
        <v>3036</v>
      </c>
      <c r="E10" s="358" t="s">
        <v>1410</v>
      </c>
      <c r="F10" s="1367" t="s">
        <v>3154</v>
      </c>
      <c r="G10" s="1852"/>
      <c r="H10" s="1292" t="s">
        <v>1039</v>
      </c>
      <c r="I10" s="1824" t="s">
        <v>1409</v>
      </c>
      <c r="J10" s="346" t="e">
        <f ca="1">ROUND(IF(M10="押一",J6/12*M11,IF(M10="押二",J6/12*2*M11,IF(M10="押三",J6/12*3*M11,J11*M11))),0)</f>
        <v>#N/A</v>
      </c>
      <c r="K10" s="1825" t="s">
        <v>3035</v>
      </c>
      <c r="L10" s="358" t="s">
        <v>1410</v>
      </c>
      <c r="M10" s="1367" t="s">
        <v>3154</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t="e">
        <f ca="1">ROUND(C29*F13,0)</f>
        <v>#N/A</v>
      </c>
      <c r="D13" s="1332" t="s">
        <v>1414</v>
      </c>
      <c r="E13" s="1332" t="s">
        <v>1415</v>
      </c>
      <c r="F13" s="1333" t="e">
        <f ca="1">INDIRECT("'数据-取费表'!y"&amp;$G$1)</f>
        <v>#N/A</v>
      </c>
      <c r="G13" s="1852"/>
      <c r="H13" s="1330">
        <v>2</v>
      </c>
      <c r="I13" s="1331" t="s">
        <v>1413</v>
      </c>
      <c r="J13" s="1291" t="e">
        <f ca="1">ROUND(J14*J15,0)</f>
        <v>#N/A</v>
      </c>
      <c r="K13" s="1338" t="s">
        <v>1414</v>
      </c>
      <c r="L13" s="1853"/>
      <c r="M13" s="1854"/>
    </row>
    <row r="14" spans="1:37" ht="18" customHeight="1">
      <c r="A14" s="1202" t="s">
        <v>1034</v>
      </c>
      <c r="B14" s="347" t="s">
        <v>1416</v>
      </c>
      <c r="C14" s="363" t="e">
        <f ca="1">INDIRECT("'数据-取费表'!m"&amp;$G$1)+INDIRECT("'数据-取费表'!t"&amp;$G$1)</f>
        <v>#N/A</v>
      </c>
      <c r="D14" s="1801" t="s">
        <v>1417</v>
      </c>
      <c r="E14" s="1795"/>
      <c r="F14" s="364"/>
      <c r="G14" s="1852"/>
      <c r="H14" s="1202" t="s">
        <v>1035</v>
      </c>
      <c r="I14" s="347" t="s">
        <v>1418</v>
      </c>
      <c r="J14" s="24" t="e">
        <f ca="1">C29</f>
        <v>#N/A</v>
      </c>
      <c r="K14" s="15"/>
      <c r="L14" s="980"/>
      <c r="M14" s="981"/>
    </row>
    <row r="15" spans="1:37" s="1859" customFormat="1" ht="18" customHeight="1" thickBot="1">
      <c r="A15" s="1202" t="s">
        <v>1036</v>
      </c>
      <c r="B15" s="347" t="s">
        <v>1419</v>
      </c>
      <c r="C15" s="24" t="e">
        <f ca="1">ROUND(C14*F15,0)</f>
        <v>#N/A</v>
      </c>
      <c r="D15" s="365" t="s">
        <v>1420</v>
      </c>
      <c r="E15" s="365" t="s">
        <v>1421</v>
      </c>
      <c r="F15" s="366">
        <f>'数据-取费表'!B33</f>
        <v>0.03</v>
      </c>
      <c r="G15" s="1855"/>
      <c r="H15" s="1340" t="s">
        <v>1039</v>
      </c>
      <c r="I15" s="1341" t="s">
        <v>1415</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t="e">
        <f ca="1">ROUND(INDIRECT("'数据-取费表'!m"&amp;$G$1)*F16,0)</f>
        <v>#N/A</v>
      </c>
      <c r="D16" s="347" t="s">
        <v>1420</v>
      </c>
      <c r="E16" s="347" t="s">
        <v>1421</v>
      </c>
      <c r="F16" s="367" t="e">
        <f ca="1">IF(INDIRECT("'数据-取费表'!c"&amp;$G$1)="住宅",'数据-取费表'!B34,0)</f>
        <v>#N/A</v>
      </c>
      <c r="G16" s="1852"/>
      <c r="H16" s="1330" t="s">
        <v>1030</v>
      </c>
      <c r="I16" s="1331" t="s">
        <v>1423</v>
      </c>
      <c r="J16" s="355" t="e">
        <f ca="1">ROUND(J17+J22+J23+J24,0)</f>
        <v>#N/A</v>
      </c>
      <c r="K16" s="1338" t="s">
        <v>1424</v>
      </c>
      <c r="L16" s="1339"/>
      <c r="M16" s="1295"/>
    </row>
    <row r="17" spans="1:37" s="1859" customFormat="1" ht="18" customHeight="1">
      <c r="A17" s="1202" t="s">
        <v>1390</v>
      </c>
      <c r="B17" s="347" t="s">
        <v>1425</v>
      </c>
      <c r="C17" s="24" t="e">
        <f ca="1">ROUND(F17*(F43+INDIRECT("'数据-取费表'!S"&amp;$G$1))/10000,0)</f>
        <v>#N/A</v>
      </c>
      <c r="D17" s="347" t="s">
        <v>1426</v>
      </c>
      <c r="E17" s="347" t="s">
        <v>1427</v>
      </c>
      <c r="F17" s="26">
        <f>'数据-取费表'!B35</f>
        <v>200</v>
      </c>
      <c r="G17" s="1855"/>
      <c r="H17" s="1202" t="s">
        <v>1035</v>
      </c>
      <c r="I17" s="347" t="s">
        <v>1428</v>
      </c>
      <c r="J17" s="24" t="e">
        <f ca="1">ROUND(IF(项目基本情况!B11="自然人",J5*M17,J18+J19+J20),1)</f>
        <v>#N/A</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t="e">
        <f ca="1">ROUND(C14*F18,0)</f>
        <v>#N/A</v>
      </c>
      <c r="D18" s="347" t="s">
        <v>1420</v>
      </c>
      <c r="E18" s="347" t="s">
        <v>1421</v>
      </c>
      <c r="F18" s="367">
        <f>'数据-取费表'!B36</f>
        <v>1.4999999999999999E-2</v>
      </c>
      <c r="G18" s="1855"/>
      <c r="H18" s="1202" t="s">
        <v>1034</v>
      </c>
      <c r="I18" s="347" t="s">
        <v>1432</v>
      </c>
      <c r="J18" s="24" t="e">
        <f ca="1">ROUND(J5*M18/(1+'数据-取费表'!C42),2)</f>
        <v>#N/A</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t="e">
        <f ca="1">SUM(C14:C18)</f>
        <v>#N/A</v>
      </c>
      <c r="D19" s="140" t="s">
        <v>1435</v>
      </c>
      <c r="E19" s="1819"/>
      <c r="F19" s="26"/>
      <c r="G19" s="1852"/>
      <c r="H19" s="1202" t="s">
        <v>1036</v>
      </c>
      <c r="I19" s="347" t="s">
        <v>1436</v>
      </c>
      <c r="J19" s="24" t="e">
        <f ca="1">IF(K19="按租金收入计税",ROUND(J5*M19,2),ROUND(C29*M19*0.7,2))</f>
        <v>#N/A</v>
      </c>
      <c r="K19" s="1829" t="s">
        <v>3156</v>
      </c>
      <c r="L19" s="347" t="s">
        <v>1421</v>
      </c>
      <c r="M19" s="367">
        <f>IF(K19="按租金收入计税",'数据-取费表'!B51,'数据-取费表'!B50)</f>
        <v>0.12</v>
      </c>
    </row>
    <row r="20" spans="1:37" s="1859" customFormat="1" ht="18" customHeight="1">
      <c r="A20" s="1202" t="s">
        <v>1039</v>
      </c>
      <c r="B20" s="347" t="s">
        <v>1438</v>
      </c>
      <c r="C20" s="24" t="e">
        <f ca="1">ROUND(C19*F20,0)</f>
        <v>#N/A</v>
      </c>
      <c r="D20" s="369" t="s">
        <v>1439</v>
      </c>
      <c r="E20" s="347" t="s">
        <v>1421</v>
      </c>
      <c r="F20" s="367">
        <f>'数据-取费表'!B37</f>
        <v>0.02</v>
      </c>
      <c r="G20" s="1855"/>
      <c r="H20" s="1202" t="s">
        <v>1389</v>
      </c>
      <c r="I20" s="164" t="s">
        <v>1440</v>
      </c>
      <c r="J20" s="25" t="e">
        <f ca="1">ROUND(M20*M21/10000,2)</f>
        <v>#N/A</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t="e">
        <f ca="1">ROUND(J14*M22,1)</f>
        <v>#N/A</v>
      </c>
      <c r="K22" s="1799" t="s">
        <v>1449</v>
      </c>
      <c r="L22" s="347" t="s">
        <v>1421</v>
      </c>
      <c r="M22" s="374" t="e">
        <f ca="1">INDIRECT("'数据-取费表'!Ak"&amp;$G$1)</f>
        <v>#N/A</v>
      </c>
    </row>
    <row r="23" spans="1:37" s="1859" customFormat="1" ht="18" customHeight="1">
      <c r="A23" s="1202"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t="e">
        <f ca="1">ROUND(J13*M23,1)</f>
        <v>#N/A</v>
      </c>
      <c r="K23" s="1799" t="s">
        <v>1453</v>
      </c>
      <c r="L23" s="347" t="s">
        <v>1454</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t="e">
        <f ca="1">ROUND(J5*M24,1)</f>
        <v>#N/A</v>
      </c>
      <c r="K24" s="1343" t="s">
        <v>1458</v>
      </c>
      <c r="L24" s="1341" t="s">
        <v>1454</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1819"/>
      <c r="F25" s="26"/>
      <c r="G25" s="1852"/>
      <c r="H25" s="1330" t="s">
        <v>1031</v>
      </c>
      <c r="I25" s="1345" t="s">
        <v>1462</v>
      </c>
      <c r="J25" s="355" t="e">
        <f ca="1">J5-J16</f>
        <v>#N/A</v>
      </c>
      <c r="K25" s="1346" t="s">
        <v>1463</v>
      </c>
      <c r="L25" s="1347"/>
      <c r="M25" s="1348"/>
    </row>
    <row r="26" spans="1:37">
      <c r="A26" s="1202" t="s">
        <v>1034</v>
      </c>
      <c r="B26" s="347" t="s">
        <v>1464</v>
      </c>
      <c r="C26" s="24" t="e">
        <f ca="1">ROUND((C19+C20)*F26,0)</f>
        <v>#N/A</v>
      </c>
      <c r="D26" s="369" t="s">
        <v>1465</v>
      </c>
      <c r="E26" s="358" t="s">
        <v>1466</v>
      </c>
      <c r="F26" s="357" t="e">
        <f ca="1">INDIRECT("'数据-取费表'!q"&amp;$G$1)</f>
        <v>#N/A</v>
      </c>
      <c r="G26" s="1852"/>
      <c r="H26" s="344" t="s">
        <v>1032</v>
      </c>
      <c r="I26" s="345" t="s">
        <v>1467</v>
      </c>
      <c r="J26" s="346" t="e">
        <f ca="1">IF(J5&lt;&gt;0,ROUND(J25*(1-((1+M28)/(1+M26))^M27)/(M26-M28),0),0)</f>
        <v>#N/A</v>
      </c>
      <c r="K26" s="370" t="s">
        <v>1468</v>
      </c>
      <c r="L26" s="347" t="s">
        <v>1469</v>
      </c>
      <c r="M26" s="357" t="e">
        <f ca="1">INDIRECT("'数据-取费表'!I"&amp;$G$1)</f>
        <v>#N/A</v>
      </c>
    </row>
    <row r="27" spans="1:37" ht="18" customHeight="1">
      <c r="A27" s="1202" t="s">
        <v>1036</v>
      </c>
      <c r="B27" s="347" t="s">
        <v>1470</v>
      </c>
      <c r="C27" s="24" t="e">
        <f ca="1">ROUND(F21*F26,4)</f>
        <v>#N/A</v>
      </c>
      <c r="D27" s="369" t="s">
        <v>1471</v>
      </c>
      <c r="E27" s="365"/>
      <c r="F27" s="366"/>
      <c r="G27" s="1852"/>
      <c r="H27" s="349"/>
      <c r="I27" s="350"/>
      <c r="J27" s="351"/>
      <c r="K27" s="378" t="s">
        <v>1472</v>
      </c>
      <c r="L27" s="347" t="s">
        <v>1473</v>
      </c>
      <c r="M27" s="379" t="e">
        <f ca="1">INDIRECT("'数据-取费表'!ag"&amp;$G$1)</f>
        <v>#N/A</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t="e">
        <f ca="1">ROUND((C19+C20+C23+C26)/(1-F21-C24-C27-C28),0)</f>
        <v>#N/A</v>
      </c>
      <c r="D29" s="1343"/>
      <c r="E29" s="1341"/>
      <c r="F29" s="1344"/>
      <c r="G29" s="1855"/>
      <c r="H29" s="380" t="s">
        <v>1033</v>
      </c>
      <c r="I29" s="381" t="s">
        <v>1478</v>
      </c>
      <c r="J29" s="382" t="e">
        <f ca="1">ROUND(J26/(1+F40)^F41,0)</f>
        <v>#N/A</v>
      </c>
      <c r="K29" s="383" t="s">
        <v>1479</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t="e">
        <f ca="1">ROUND(C31+C36+C37+C38,0)</f>
        <v>#N/A</v>
      </c>
      <c r="D30" s="1338" t="s">
        <v>1424</v>
      </c>
      <c r="E30" s="1339"/>
      <c r="F30" s="1295"/>
      <c r="G30" s="1852"/>
      <c r="H30" s="743"/>
      <c r="I30" s="744"/>
      <c r="J30" s="745"/>
      <c r="K30" s="746"/>
      <c r="L30" s="747"/>
      <c r="M30" s="748"/>
    </row>
    <row r="31" spans="1:37" ht="18" customHeight="1">
      <c r="A31" s="1202" t="s">
        <v>1035</v>
      </c>
      <c r="B31" s="347" t="s">
        <v>1428</v>
      </c>
      <c r="C31" s="24" t="e">
        <f ca="1">ROUND(IF(项目基本情况!B11="自然人",C5*F31,C32+C33+C34),1)</f>
        <v>#N/A</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t="e">
        <f ca="1">IF(项目基本情况!B11="自然人","——",ROUND(C5*F32/(1+'数据-取费表'!C42),2))</f>
        <v>#N/A</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t="e">
        <f ca="1">IF(项目基本情况!B11="自然人","——",IF(D33="按租金收入计税",ROUND(C5*F33,2),IF(D33="按房产原值计税",ROUND(C29*F33*0.7,2),INDIRECT("'数据-取费表'!Aj"&amp;$G$1))))</f>
        <v>#N/A</v>
      </c>
      <c r="D33" s="1829" t="s">
        <v>3156</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t="e">
        <f ca="1">IF(项目基本情况!B11="自然人","——",ROUND(F34*F35/10000,2))</f>
        <v>#N/A</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t="e">
        <f ca="1">INDIRECT("'数据-取费表'!r"&amp;$G$1)</f>
        <v>#N/A</v>
      </c>
      <c r="G35" s="1852"/>
      <c r="H35" s="743"/>
      <c r="I35" s="1861"/>
      <c r="J35" s="1862"/>
      <c r="K35" s="1863"/>
      <c r="L35" s="1860"/>
      <c r="M35" s="1860"/>
    </row>
    <row r="36" spans="1:18" ht="18" customHeight="1">
      <c r="A36" s="1353" t="s">
        <v>1039</v>
      </c>
      <c r="B36" s="347" t="s">
        <v>1448</v>
      </c>
      <c r="C36" s="24" t="e">
        <f ca="1">ROUND(C29*F36,1)</f>
        <v>#N/A</v>
      </c>
      <c r="D36" s="1799" t="s">
        <v>1481</v>
      </c>
      <c r="E36" s="347" t="s">
        <v>1421</v>
      </c>
      <c r="F36" s="374" t="e">
        <f ca="1">INDIRECT("'数据-取费表'!Ak"&amp;$G$1)</f>
        <v>#N/A</v>
      </c>
      <c r="G36" s="1852"/>
      <c r="H36" s="1860"/>
      <c r="I36" s="1861"/>
      <c r="J36" s="1862"/>
      <c r="K36" s="749"/>
      <c r="L36" s="1860"/>
      <c r="M36" s="1860"/>
    </row>
    <row r="37" spans="1:18" ht="18" customHeight="1">
      <c r="A37" s="1202" t="s">
        <v>1075</v>
      </c>
      <c r="B37" s="347" t="s">
        <v>1452</v>
      </c>
      <c r="C37" s="24" t="e">
        <f ca="1">ROUND(C13*F37,1)</f>
        <v>#N/A</v>
      </c>
      <c r="D37" s="1799" t="s">
        <v>1453</v>
      </c>
      <c r="E37" s="347" t="s">
        <v>1454</v>
      </c>
      <c r="F37" s="376" t="e">
        <f ca="1">INDIRECT("'数据-取费表'!Al"&amp;$G$1)</f>
        <v>#N/A</v>
      </c>
      <c r="G37" s="1852"/>
      <c r="H37" s="1860"/>
      <c r="I37" s="1861"/>
      <c r="J37" s="1862"/>
      <c r="K37" s="749"/>
      <c r="L37" s="1860"/>
      <c r="M37" s="1860"/>
    </row>
    <row r="38" spans="1:18" ht="18" customHeight="1" thickBot="1">
      <c r="A38" s="1340" t="s">
        <v>1393</v>
      </c>
      <c r="B38" s="1341" t="s">
        <v>1438</v>
      </c>
      <c r="C38" s="1342" t="e">
        <f ca="1">ROUND(C5*F38,1)</f>
        <v>#N/A</v>
      </c>
      <c r="D38" s="1343" t="s">
        <v>1458</v>
      </c>
      <c r="E38" s="1341" t="s">
        <v>1454</v>
      </c>
      <c r="F38" s="1337" t="e">
        <f ca="1">INDIRECT("'数据-取费表'!Am"&amp;$G$1)</f>
        <v>#N/A</v>
      </c>
      <c r="G38" s="1852"/>
      <c r="H38" s="1860"/>
      <c r="I38" s="1861"/>
      <c r="J38" s="1862"/>
      <c r="K38" s="1866"/>
      <c r="L38" s="1860"/>
      <c r="M38" s="1860"/>
    </row>
    <row r="39" spans="1:18" ht="24.6" customHeight="1" thickTop="1">
      <c r="A39" s="1330" t="s">
        <v>1031</v>
      </c>
      <c r="B39" s="1345" t="s">
        <v>1482</v>
      </c>
      <c r="C39" s="355" t="e">
        <f ca="1">C5-C30</f>
        <v>#N/A</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#N/A</v>
      </c>
      <c r="D40" s="370" t="s">
        <v>1468</v>
      </c>
      <c r="E40" s="347" t="s">
        <v>1469</v>
      </c>
      <c r="F40" s="357" t="e">
        <f ca="1">INDIRECT("'数据-取费表'!I"&amp;$G$1)</f>
        <v>#N/A</v>
      </c>
      <c r="G40" s="1852"/>
      <c r="H40" s="1840"/>
      <c r="I40" s="1861"/>
      <c r="J40" s="1862"/>
      <c r="K40" s="1866"/>
      <c r="L40" s="1840"/>
      <c r="M40" s="1840"/>
    </row>
    <row r="41" spans="1:18" ht="18" customHeight="1">
      <c r="A41" s="349"/>
      <c r="B41" s="350"/>
      <c r="C41" s="351"/>
      <c r="D41" s="378" t="s">
        <v>1485</v>
      </c>
      <c r="E41" s="347" t="s">
        <v>1473</v>
      </c>
      <c r="F41" s="379" t="e">
        <f ca="1">IF(INDIRECT("'数据-取费表'!af"&amp;$G$1)=0,INDIRECT("'数据-取费表'!ae"&amp;$G$1),INDIRECT("'数据-取费表'!af"&amp;$G$1))</f>
        <v>#N/A</v>
      </c>
      <c r="G41" s="1852"/>
      <c r="H41" s="730"/>
      <c r="I41" s="1861"/>
      <c r="J41" s="1862"/>
      <c r="K41" s="749"/>
      <c r="L41" s="730"/>
      <c r="M41" s="730"/>
    </row>
    <row r="42" spans="1:18" ht="18" customHeight="1">
      <c r="A42" s="353"/>
      <c r="B42" s="354"/>
      <c r="C42" s="355"/>
      <c r="D42" s="373"/>
      <c r="E42" s="347" t="s">
        <v>1476</v>
      </c>
      <c r="F42" s="357" t="e">
        <f ca="1">INDIRECT("'数据-取费表'!v"&amp;$G$1)</f>
        <v>#N/A</v>
      </c>
      <c r="G42" s="1852"/>
      <c r="H42" s="730"/>
      <c r="I42" s="1861"/>
      <c r="J42" s="1862"/>
      <c r="K42" s="749"/>
      <c r="L42" s="730"/>
      <c r="M42" s="730"/>
    </row>
    <row r="43" spans="1:18" ht="18" customHeight="1" thickBot="1">
      <c r="A43" s="380" t="s">
        <v>1033</v>
      </c>
      <c r="B43" s="381" t="s">
        <v>1486</v>
      </c>
      <c r="C43" s="382" t="e">
        <f ca="1">ROUND(C40*10000/F43,0)</f>
        <v>#N/A</v>
      </c>
      <c r="D43" s="383" t="s">
        <v>1487</v>
      </c>
      <c r="E43" s="384" t="s">
        <v>1488</v>
      </c>
      <c r="F43" s="385" t="e">
        <f ca="1">INDIRECT("'数据-取费表'!k"&amp;$G$1)</f>
        <v>#N/A</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t="e">
        <f ca="1">C68-C40</f>
        <v>#N/A</v>
      </c>
      <c r="D46" s="1873" t="str">
        <f>C2</f>
        <v>万元</v>
      </c>
      <c r="E46" s="1867"/>
      <c r="F46" s="1867"/>
      <c r="I46" s="1874" t="s">
        <v>1520</v>
      </c>
      <c r="J46" s="1875"/>
      <c r="K46" s="1876"/>
      <c r="L46" s="1877" t="e">
        <f ca="1">IF(M47="住宅",0,IF(L48&gt;J51,L60,J60))</f>
        <v>#N/A</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3135</v>
      </c>
      <c r="K47" s="1883" t="s">
        <v>1526</v>
      </c>
      <c r="L47" s="1884" t="e">
        <f ca="1">INDIRECT("'数据-取费表'!d"&amp;$G$1)</f>
        <v>#N/A</v>
      </c>
      <c r="M47" s="1839" t="str">
        <f>IF(ISNUMBER(FIND("住宅",C1)),"住宅","非住宅")</f>
        <v>非住宅</v>
      </c>
      <c r="O47" s="1885" t="s">
        <v>1040</v>
      </c>
      <c r="P47" s="1886" t="s">
        <v>1527</v>
      </c>
      <c r="Q47" s="1887" t="e">
        <f ca="1">C40+J29</f>
        <v>#N/A</v>
      </c>
      <c r="R47" s="1887" t="s">
        <v>1528</v>
      </c>
    </row>
    <row r="48" spans="1:18" s="1843" customFormat="1" ht="28.5" thickBot="1">
      <c r="A48" s="1361" t="s">
        <v>1135</v>
      </c>
      <c r="B48" s="345" t="s">
        <v>1401</v>
      </c>
      <c r="C48" s="1818" t="e">
        <f ca="1">C49+C53+C55</f>
        <v>#N/A</v>
      </c>
      <c r="D48" s="1363"/>
      <c r="E48" s="1364"/>
      <c r="F48" s="1182"/>
      <c r="G48" s="790"/>
      <c r="H48" s="791"/>
      <c r="I48" s="1888" t="s">
        <v>1529</v>
      </c>
      <c r="J48" s="1889" t="s">
        <v>3155</v>
      </c>
      <c r="K48" s="1890" t="s">
        <v>1530</v>
      </c>
      <c r="L48" s="1891" t="e">
        <f ca="1">INDIRECT("'数据-取费表'!f"&amp;$G$1)</f>
        <v>#N/A</v>
      </c>
      <c r="O48" s="1885" t="s">
        <v>1041</v>
      </c>
      <c r="P48" s="1886" t="s">
        <v>1531</v>
      </c>
      <c r="Q48" s="1887" t="e">
        <f ca="1">J60</f>
        <v>#N/A</v>
      </c>
      <c r="R48" s="1887" t="s">
        <v>1532</v>
      </c>
    </row>
    <row r="49" spans="1:18" s="1843" customFormat="1" ht="13.5" thickBot="1">
      <c r="A49" s="1195" t="s">
        <v>1136</v>
      </c>
      <c r="B49" s="1830" t="s">
        <v>1489</v>
      </c>
      <c r="C49" s="1365" t="e">
        <f ca="1">ROUND(F49*F51*F50*(1-F52)/10000,0)</f>
        <v>#N/A</v>
      </c>
      <c r="D49" s="1277" t="s">
        <v>3028</v>
      </c>
      <c r="E49" s="1831" t="s">
        <v>1490</v>
      </c>
      <c r="F49" s="1282">
        <f>案例及商业租金楼层修正!F59</f>
        <v>5.6</v>
      </c>
      <c r="G49" s="1892"/>
      <c r="H49" s="791"/>
      <c r="I49" s="1888" t="s">
        <v>1533</v>
      </c>
      <c r="J49" s="1893">
        <v>2004</v>
      </c>
      <c r="K49" s="1890" t="s">
        <v>1534</v>
      </c>
      <c r="L49" s="1894"/>
      <c r="O49" s="1895" t="s">
        <v>1042</v>
      </c>
      <c r="P49" s="1886" t="s">
        <v>1535</v>
      </c>
      <c r="Q49" s="1887" t="e">
        <f ca="1">C29</f>
        <v>#N/A</v>
      </c>
      <c r="R49" s="1887" t="s">
        <v>1528</v>
      </c>
    </row>
    <row r="50" spans="1:18" s="1843" customFormat="1" ht="13.5" thickBot="1">
      <c r="A50" s="1196"/>
      <c r="B50" s="1199"/>
      <c r="C50" s="1369"/>
      <c r="D50" s="1173"/>
      <c r="E50" s="1278" t="s">
        <v>1406</v>
      </c>
      <c r="F50" s="1279" t="e">
        <f ca="1">F7</f>
        <v>#N/A</v>
      </c>
      <c r="H50" s="791"/>
      <c r="I50" s="1888" t="s">
        <v>1536</v>
      </c>
      <c r="J50" s="1896">
        <f>SUMPRODUCT((I63:I65=J47)*(J62:L62=J48)*(J63:L65))</f>
        <v>60</v>
      </c>
      <c r="K50" s="1890" t="s">
        <v>1537</v>
      </c>
      <c r="L50" s="1894"/>
      <c r="M50" s="1897"/>
      <c r="O50" s="1895" t="s">
        <v>1043</v>
      </c>
      <c r="P50" s="1886" t="s">
        <v>1538</v>
      </c>
      <c r="Q50" s="1898" t="e">
        <f ca="1">J58</f>
        <v>#N/A</v>
      </c>
      <c r="R50" s="1887"/>
    </row>
    <row r="51" spans="1:18" s="1843" customFormat="1" ht="13.5" thickBot="1">
      <c r="A51" s="1197"/>
      <c r="B51" s="1199"/>
      <c r="C51" s="1200"/>
      <c r="D51" s="1173"/>
      <c r="E51" s="1201" t="s">
        <v>1407</v>
      </c>
      <c r="F51" s="348" t="e">
        <f ca="1">F8</f>
        <v>#N/A</v>
      </c>
      <c r="I51" s="1899" t="s">
        <v>1539</v>
      </c>
      <c r="J51" s="1900">
        <f>IF(J49="",J50,J49+J50-YEAR('数据-取费表'!B2))</f>
        <v>46</v>
      </c>
      <c r="K51" s="1901" t="s">
        <v>1540</v>
      </c>
      <c r="L51" s="1902" t="e">
        <f ca="1">ROUND(-PV(INDIRECT("'数据-取费表'!h"&amp;$G$1),L48,(C39-C13*C76),0),0)</f>
        <v>#N/A</v>
      </c>
      <c r="M51" s="1903"/>
      <c r="O51" s="1895" t="s">
        <v>1044</v>
      </c>
      <c r="P51" s="1886" t="s">
        <v>1541</v>
      </c>
      <c r="Q51" s="1898">
        <f>J52</f>
        <v>0.09</v>
      </c>
      <c r="R51" s="1887"/>
    </row>
    <row r="52" spans="1:18" s="1843" customFormat="1" ht="13.5" thickBot="1">
      <c r="A52" s="1197"/>
      <c r="B52" s="1199"/>
      <c r="C52" s="1200"/>
      <c r="D52" s="1173"/>
      <c r="E52" s="1201" t="s">
        <v>1408</v>
      </c>
      <c r="F52" s="1276" t="e">
        <f ca="1">M9</f>
        <v>#N/A</v>
      </c>
      <c r="I52" s="1904" t="s">
        <v>1542</v>
      </c>
      <c r="J52" s="1905">
        <v>0.09</v>
      </c>
      <c r="K52" s="1904" t="s">
        <v>1543</v>
      </c>
      <c r="L52" s="1905"/>
      <c r="O52" s="1895" t="s">
        <v>1045</v>
      </c>
      <c r="P52" s="1886" t="s">
        <v>1544</v>
      </c>
      <c r="Q52" s="1887" t="e">
        <f ca="1">J53</f>
        <v>#N/A</v>
      </c>
      <c r="R52" s="1887" t="s">
        <v>1545</v>
      </c>
    </row>
    <row r="53" spans="1:18" s="1843" customFormat="1" ht="24.75" thickBot="1">
      <c r="A53" s="1406" t="s">
        <v>1137</v>
      </c>
      <c r="B53" s="1832" t="s">
        <v>1409</v>
      </c>
      <c r="C53" s="361" t="e">
        <f ca="1">ROUND(IF(F53="押一",C49/12*F11,IF(F53="押二",C49/12*2*F11,IF(F53="押三",C49/12*3*F11,C54*F11))),0)</f>
        <v>#N/A</v>
      </c>
      <c r="D53" s="1825" t="s">
        <v>3035</v>
      </c>
      <c r="E53" s="358" t="s">
        <v>1410</v>
      </c>
      <c r="F53" s="1367" t="s">
        <v>3154</v>
      </c>
      <c r="I53" s="1906" t="s">
        <v>1546</v>
      </c>
      <c r="J53" s="1907" t="e">
        <f ca="1">IF(M47="住宅",J51,IF(D1="——",MIN(J51,L48),IF(D1="在建（套用方法）",MIN(J51,L48-'数据-取费表'!B24),IF(D1="土地（套用方法）",MIN(J51,L48-'数据-取费表'!B20)))))</f>
        <v>#N/A</v>
      </c>
      <c r="K53" s="3286" t="s">
        <v>1547</v>
      </c>
      <c r="L53" s="3287"/>
      <c r="O53" s="1885" t="s">
        <v>1046</v>
      </c>
      <c r="P53" s="1886" t="s">
        <v>1548</v>
      </c>
      <c r="Q53" s="1887" t="e">
        <f ca="1">Q47+Q48</f>
        <v>#N/A</v>
      </c>
      <c r="R53" s="1887" t="s">
        <v>1047</v>
      </c>
    </row>
    <row r="54" spans="1:18" s="1843" customFormat="1" ht="13.5" thickBot="1">
      <c r="A54" s="1407"/>
      <c r="B54" s="1826" t="s">
        <v>1388</v>
      </c>
      <c r="C54" s="1179"/>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#N/A</v>
      </c>
      <c r="K55" s="1913" t="s">
        <v>1551</v>
      </c>
      <c r="L55" s="1914" t="s">
        <v>1552</v>
      </c>
      <c r="O55" s="1878" t="s">
        <v>1521</v>
      </c>
      <c r="P55" s="1879" t="s">
        <v>1522</v>
      </c>
      <c r="Q55" s="1880" t="s">
        <v>1523</v>
      </c>
      <c r="R55" s="1880" t="s">
        <v>1524</v>
      </c>
    </row>
    <row r="56" spans="1:18" s="1843" customFormat="1" ht="25.5" thickTop="1" thickBot="1">
      <c r="A56" s="1177">
        <v>2</v>
      </c>
      <c r="B56" s="1178" t="s">
        <v>1413</v>
      </c>
      <c r="C56" s="276" t="e">
        <f ca="1">C13</f>
        <v>#N/A</v>
      </c>
      <c r="D56" s="1915"/>
      <c r="E56" s="1916"/>
      <c r="F56" s="1908"/>
      <c r="I56" s="1917" t="s">
        <v>1553</v>
      </c>
      <c r="J56" s="1918" t="s">
        <v>3053</v>
      </c>
      <c r="K56" s="1888" t="s">
        <v>1554</v>
      </c>
      <c r="L56" s="1891" t="e">
        <f ca="1">IF(L48&lt;J51,"——",L48-J53)</f>
        <v>#N/A</v>
      </c>
      <c r="O56" s="1885" t="s">
        <v>1040</v>
      </c>
      <c r="P56" s="1886" t="s">
        <v>1527</v>
      </c>
      <c r="Q56" s="1887" t="e">
        <f ca="1">C40+J29</f>
        <v>#N/A</v>
      </c>
      <c r="R56" s="1887" t="s">
        <v>1528</v>
      </c>
    </row>
    <row r="57" spans="1:18" s="1843" customFormat="1" ht="24.75" thickBot="1">
      <c r="A57" s="1919"/>
      <c r="B57" s="1170" t="s">
        <v>1477</v>
      </c>
      <c r="C57" s="282" t="e">
        <f ca="1">C29</f>
        <v>#N/A</v>
      </c>
      <c r="D57" s="1920"/>
      <c r="E57" s="1921"/>
      <c r="F57" s="1922"/>
      <c r="I57" s="1923" t="s">
        <v>1555</v>
      </c>
      <c r="J57" s="1924" t="e">
        <f ca="1">IF(OR(M47="住宅",J51&lt;L48,J56="是"),"——",J51-L48)</f>
        <v>#N/A</v>
      </c>
      <c r="K57" s="1888" t="s">
        <v>1556</v>
      </c>
      <c r="L57" s="1891" t="e">
        <f ca="1">IF(L48&lt;J51,"——",IF(L55="比较法",L49,IF(L55="基准地价",L50,L51)))</f>
        <v>#N/A</v>
      </c>
      <c r="O57" s="1885" t="s">
        <v>1041</v>
      </c>
      <c r="P57" s="1886" t="s">
        <v>1557</v>
      </c>
      <c r="Q57" s="1887" t="e">
        <f ca="1">L60</f>
        <v>#N/A</v>
      </c>
      <c r="R57" s="1887" t="s">
        <v>1558</v>
      </c>
    </row>
    <row r="58" spans="1:18" s="1843" customFormat="1" ht="24.75" thickBot="1">
      <c r="A58" s="360" t="s">
        <v>1030</v>
      </c>
      <c r="B58" s="1178" t="s">
        <v>1423</v>
      </c>
      <c r="C58" s="361" t="e">
        <f ca="1">ROUND(C59+C64+C65+C66,0)</f>
        <v>#N/A</v>
      </c>
      <c r="D58" s="1180" t="s">
        <v>1424</v>
      </c>
      <c r="E58" s="1181"/>
      <c r="F58" s="1182"/>
      <c r="I58" s="1923" t="s">
        <v>1559</v>
      </c>
      <c r="J58" s="1925" t="e">
        <f ca="1">IF(J55&lt;0.4,0.4,J55)</f>
        <v>#N/A</v>
      </c>
      <c r="K58" s="1901" t="s">
        <v>1560</v>
      </c>
      <c r="L58" s="1891" t="e">
        <f ca="1">ROUND(POWER(1+L52,L47-L48)*(POWER(1+L52,L48)-1)/(POWER(1+L52,L47)-1),4)</f>
        <v>#N/A</v>
      </c>
      <c r="O58" s="1895" t="s">
        <v>1042</v>
      </c>
      <c r="P58" s="1886" t="s">
        <v>1561</v>
      </c>
      <c r="Q58" s="1887">
        <f>IF(L55="比较法",L49,IF(L55="基准地价",L50,0))</f>
        <v>0</v>
      </c>
      <c r="R58" s="1887" t="s">
        <v>1528</v>
      </c>
    </row>
    <row r="59" spans="1:18" s="1843" customFormat="1" ht="24.75" thickBot="1">
      <c r="A59" s="1202" t="s">
        <v>1035</v>
      </c>
      <c r="B59" s="1170" t="s">
        <v>1428</v>
      </c>
      <c r="C59" s="24" t="e">
        <f ca="1">ROUND(IF(项目基本情况!B11="自然人",C48*F59,C60+C61+C62),1)</f>
        <v>#N/A</v>
      </c>
      <c r="D59" s="1183" t="s">
        <v>1429</v>
      </c>
      <c r="E59" s="1184" t="s">
        <v>1430</v>
      </c>
      <c r="F59" s="368" t="str">
        <f ca="1">IF(项目基本情况!B11="企业","",IF(INDIRECT("'数据-取费表'!c"&amp;$G$1)="住宅",5%,IF(F49*F50*F51/12/(1+'数据-取费表'!C42)&gt;20000,12%,7%)))</f>
        <v/>
      </c>
      <c r="I59" s="1923" t="s">
        <v>1562</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1563</v>
      </c>
      <c r="Q59" s="1898">
        <f>L52</f>
        <v>0</v>
      </c>
      <c r="R59" s="1887"/>
    </row>
    <row r="60" spans="1:18" s="1843" customFormat="1" ht="16.5" thickBot="1">
      <c r="A60" s="1202" t="s">
        <v>1034</v>
      </c>
      <c r="B60" s="1170" t="s">
        <v>1432</v>
      </c>
      <c r="C60" s="24" t="e">
        <f ca="1">IF(项目基本情况!B11="自然人","——",ROUND(C48*F60/(1+'数据-取费表'!C42),2))</f>
        <v>#N/A</v>
      </c>
      <c r="D60" s="1184" t="s">
        <v>1433</v>
      </c>
      <c r="E60" s="1170" t="s">
        <v>1421</v>
      </c>
      <c r="F60" s="377">
        <f t="shared" ref="F60:F66" si="0">F32</f>
        <v>5.6000000000000001E-2</v>
      </c>
      <c r="I60" s="1926" t="s">
        <v>1564</v>
      </c>
      <c r="J60" s="1927" t="e">
        <f ca="1">IF(OR(M47="住宅",J51&lt;L48,J56="是"),"0",ROUND(J59/(1+J52)^J53,0))</f>
        <v>#N/A</v>
      </c>
      <c r="K60" s="1928" t="s">
        <v>1565</v>
      </c>
      <c r="L60" s="1927" t="e">
        <f ca="1">IF(OR(M47="住宅",L48&lt;J51),0,ROUND(L57*(L58/L59-1),0))</f>
        <v>#N/A</v>
      </c>
      <c r="O60" s="1895" t="s">
        <v>1044</v>
      </c>
      <c r="P60" s="1886" t="s">
        <v>1566</v>
      </c>
      <c r="Q60" s="1887" t="e">
        <f ca="1">L58</f>
        <v>#N/A</v>
      </c>
      <c r="R60" s="1887" t="s">
        <v>1567</v>
      </c>
    </row>
    <row r="61" spans="1:18" s="1843" customFormat="1" ht="13.5" thickBot="1">
      <c r="A61" s="1202" t="s">
        <v>1491</v>
      </c>
      <c r="B61" s="1170" t="s">
        <v>1492</v>
      </c>
      <c r="C61" s="24" t="e">
        <f ca="1">IF(项目基本情况!B11="自然人","——",IF(D61="按租金收入计税",ROUND(C48*F61,2),IF(D61="按房产原值计税",ROUND(C57*F61*0.7,2),INDIRECT("'数据-取费表'!Aj"&amp;$G$1))))</f>
        <v>#N/A</v>
      </c>
      <c r="D61" s="1829" t="s">
        <v>3156</v>
      </c>
      <c r="E61" s="1170" t="s">
        <v>1493</v>
      </c>
      <c r="F61" s="367">
        <f t="shared" si="0"/>
        <v>0.12</v>
      </c>
      <c r="I61" s="1929"/>
      <c r="J61" s="1929"/>
      <c r="K61" s="1929"/>
      <c r="L61" s="1929"/>
      <c r="O61" s="1895" t="s">
        <v>1045</v>
      </c>
      <c r="P61" s="1886" t="str">
        <f>K59</f>
        <v>建筑物剩余耐用年限下的土地年期修正系数Kn</v>
      </c>
      <c r="Q61" s="1887" t="e">
        <f ca="1">L59</f>
        <v>#N/A</v>
      </c>
      <c r="R61" s="1887" t="s">
        <v>1568</v>
      </c>
    </row>
    <row r="62" spans="1:18" s="1843" customFormat="1" ht="13.5" thickBot="1">
      <c r="A62" s="1202" t="s">
        <v>1494</v>
      </c>
      <c r="B62" s="1169" t="s">
        <v>1495</v>
      </c>
      <c r="C62" s="25" t="e">
        <f ca="1">IF(项目基本情况!B11="自然人","——",ROUND(F62*F63/10000,2))</f>
        <v>#N/A</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#N/A</v>
      </c>
      <c r="R62" s="1887" t="s">
        <v>1047</v>
      </c>
    </row>
    <row r="63" spans="1:18" s="1843" customFormat="1" ht="13.5" thickBot="1">
      <c r="A63" s="372"/>
      <c r="B63" s="1176"/>
      <c r="C63" s="29"/>
      <c r="D63" s="1186"/>
      <c r="E63" s="1170" t="s">
        <v>1498</v>
      </c>
      <c r="F63" s="348" t="e">
        <f t="shared" ca="1" si="0"/>
        <v>#N/A</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t="e">
        <f ca="1">ROUND(C57*F64,1)</f>
        <v>#N/A</v>
      </c>
      <c r="D64" s="1184" t="s">
        <v>1501</v>
      </c>
      <c r="E64" s="1170" t="s">
        <v>1493</v>
      </c>
      <c r="F64" s="374" t="e">
        <f t="shared" ca="1" si="0"/>
        <v>#N/A</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t="e">
        <f ca="1">ROUND(C56*F65,1)</f>
        <v>#N/A</v>
      </c>
      <c r="D65" s="1184" t="s">
        <v>1453</v>
      </c>
      <c r="E65" s="1170" t="s">
        <v>1454</v>
      </c>
      <c r="F65" s="376" t="e">
        <f t="shared" ca="1" si="0"/>
        <v>#N/A</v>
      </c>
      <c r="I65" s="1930" t="s">
        <v>1578</v>
      </c>
      <c r="J65" s="1931">
        <v>40</v>
      </c>
      <c r="K65" s="1931">
        <v>30</v>
      </c>
      <c r="L65" s="1931">
        <v>50</v>
      </c>
      <c r="M65" s="1933">
        <v>0.02</v>
      </c>
      <c r="O65" s="1885" t="s">
        <v>1040</v>
      </c>
      <c r="P65" s="1886" t="s">
        <v>1579</v>
      </c>
      <c r="Q65" s="1887" t="e">
        <f ca="1">C40+J29</f>
        <v>#N/A</v>
      </c>
      <c r="R65" s="1887" t="s">
        <v>1528</v>
      </c>
    </row>
    <row r="66" spans="1:18" s="1843" customFormat="1" ht="16.5" thickBot="1">
      <c r="A66" s="1202" t="s">
        <v>1503</v>
      </c>
      <c r="B66" s="1170" t="s">
        <v>1438</v>
      </c>
      <c r="C66" s="24" t="e">
        <f ca="1">ROUND(C48*F66,1)</f>
        <v>#N/A</v>
      </c>
      <c r="D66" s="1184" t="s">
        <v>1504</v>
      </c>
      <c r="E66" s="1170" t="s">
        <v>1421</v>
      </c>
      <c r="F66" s="357" t="e">
        <f t="shared" ca="1" si="0"/>
        <v>#N/A</v>
      </c>
      <c r="O66" s="1885" t="s">
        <v>1041</v>
      </c>
      <c r="P66" s="1886" t="s">
        <v>1557</v>
      </c>
      <c r="Q66" s="1887" t="e">
        <f ca="1">L60</f>
        <v>#N/A</v>
      </c>
      <c r="R66" s="1887" t="s">
        <v>1580</v>
      </c>
    </row>
    <row r="67" spans="1:18" s="1843" customFormat="1" ht="16.5" thickBot="1">
      <c r="A67" s="1177" t="s">
        <v>1031</v>
      </c>
      <c r="B67" s="1187" t="s">
        <v>1462</v>
      </c>
      <c r="C67" s="361" t="e">
        <f ca="1">C48-C58</f>
        <v>#N/A</v>
      </c>
      <c r="D67" s="1183" t="s">
        <v>1463</v>
      </c>
      <c r="E67" s="1188"/>
      <c r="F67" s="1189"/>
      <c r="O67" s="1895" t="s">
        <v>1042</v>
      </c>
      <c r="P67" s="1886" t="s">
        <v>1561</v>
      </c>
      <c r="Q67" s="1934" t="e">
        <f ca="1">L51</f>
        <v>#N/A</v>
      </c>
      <c r="R67" s="1887" t="s">
        <v>1581</v>
      </c>
    </row>
    <row r="68" spans="1:18" s="1843" customFormat="1" ht="16.5" thickBot="1">
      <c r="A68" s="1167" t="s">
        <v>1032</v>
      </c>
      <c r="B68" s="1168" t="s">
        <v>1484</v>
      </c>
      <c r="C68" s="346" t="e">
        <f ca="1">ROUND(C67*(1-((1+F70)/(1+F68))^F69)/(F68-F70),0)</f>
        <v>#N/A</v>
      </c>
      <c r="D68" s="1185" t="s">
        <v>1468</v>
      </c>
      <c r="E68" s="1170" t="s">
        <v>1469</v>
      </c>
      <c r="F68" s="357" t="e">
        <f ca="1">F40</f>
        <v>#N/A</v>
      </c>
      <c r="O68" s="1895" t="s">
        <v>1043</v>
      </c>
      <c r="P68" s="1935" t="s">
        <v>1582</v>
      </c>
      <c r="Q68" s="1887" t="e">
        <f ca="1">ROUND(Q69-Q70*Q71,0)</f>
        <v>#N/A</v>
      </c>
      <c r="R68" s="1887" t="s">
        <v>1051</v>
      </c>
    </row>
    <row r="69" spans="1:18" s="1843" customFormat="1" ht="13.5" thickBot="1">
      <c r="A69" s="1171"/>
      <c r="B69" s="1172"/>
      <c r="C69" s="351"/>
      <c r="D69" s="1190" t="s">
        <v>1472</v>
      </c>
      <c r="E69" s="1170" t="s">
        <v>1473</v>
      </c>
      <c r="F69" s="379" t="e">
        <f ca="1">F41</f>
        <v>#N/A</v>
      </c>
      <c r="O69" s="1895" t="s">
        <v>1048</v>
      </c>
      <c r="P69" s="1935" t="s">
        <v>1583</v>
      </c>
      <c r="Q69" s="1887" t="e">
        <f ca="1">C39</f>
        <v>#N/A</v>
      </c>
      <c r="R69" s="1887" t="s">
        <v>1528</v>
      </c>
    </row>
    <row r="70" spans="1:18" s="1843" customFormat="1" ht="13.5" thickBot="1">
      <c r="A70" s="1174"/>
      <c r="B70" s="1175"/>
      <c r="C70" s="355"/>
      <c r="D70" s="1186"/>
      <c r="E70" s="1170" t="s">
        <v>1476</v>
      </c>
      <c r="F70" s="1276" t="e">
        <f ca="1">M28</f>
        <v>#N/A</v>
      </c>
      <c r="O70" s="1895" t="s">
        <v>1049</v>
      </c>
      <c r="P70" s="1935" t="s">
        <v>1584</v>
      </c>
      <c r="Q70" s="1887" t="e">
        <f ca="1">C13</f>
        <v>#N/A</v>
      </c>
      <c r="R70" s="1887" t="s">
        <v>1528</v>
      </c>
    </row>
    <row r="71" spans="1:18" s="1843" customFormat="1" ht="13.5" thickBot="1">
      <c r="A71" s="1191" t="s">
        <v>1033</v>
      </c>
      <c r="B71" s="1192" t="s">
        <v>1486</v>
      </c>
      <c r="C71" s="382" t="e">
        <f ca="1">ROUND(C68*10000/F71,0)</f>
        <v>#N/A</v>
      </c>
      <c r="D71" s="1193" t="s">
        <v>1487</v>
      </c>
      <c r="E71" s="1194" t="s">
        <v>1488</v>
      </c>
      <c r="F71" s="385" t="e">
        <f ca="1">F43</f>
        <v>#N/A</v>
      </c>
      <c r="O71" s="1895" t="s">
        <v>1050</v>
      </c>
      <c r="P71" s="1935" t="s">
        <v>1585</v>
      </c>
      <c r="Q71" s="1898" t="e">
        <f ca="1">C76</f>
        <v>#N/A</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#N/A</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#N/A</v>
      </c>
      <c r="R74" s="1887" t="s">
        <v>1568</v>
      </c>
    </row>
    <row r="75" spans="1:18" ht="13.5" thickBot="1">
      <c r="A75" s="1843"/>
      <c r="B75" s="386" t="s">
        <v>1505</v>
      </c>
      <c r="C75" s="387" t="e">
        <f ca="1">ROUND(C13*C76,0)</f>
        <v>#N/A</v>
      </c>
      <c r="D75" s="1843"/>
      <c r="E75" s="1843"/>
      <c r="F75" s="1843"/>
      <c r="K75" s="1869"/>
      <c r="L75" s="1843"/>
      <c r="O75" s="1885" t="s">
        <v>1046</v>
      </c>
      <c r="P75" s="1886" t="s">
        <v>1548</v>
      </c>
      <c r="Q75" s="1887" t="e">
        <f ca="1">Q65+Q66</f>
        <v>#N/A</v>
      </c>
      <c r="R75" s="1887" t="s">
        <v>1047</v>
      </c>
    </row>
    <row r="76" spans="1:18">
      <c r="B76" s="388" t="s">
        <v>1506</v>
      </c>
      <c r="C76" s="389" t="e">
        <f ca="1">INDIRECT("'数据-取费表'!j"&amp;$G$1)</f>
        <v>#N/A</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c r="D1" s="1821"/>
      <c r="E1" s="1822" t="s">
        <v>1387</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288" t="s">
        <v>1403</v>
      </c>
      <c r="C6" s="1297">
        <f ca="1">ROUND(F6*F8*F7*(1-F9),0)</f>
        <v>0</v>
      </c>
      <c r="D6" s="164" t="s">
        <v>3024</v>
      </c>
      <c r="E6" s="347" t="s">
        <v>1405</v>
      </c>
      <c r="F6" s="348">
        <f ca="1">INDIRECT("'数据-取费表'!u"&amp;$G$1)</f>
        <v>0</v>
      </c>
      <c r="G6" s="1852"/>
      <c r="H6" s="1292" t="s">
        <v>1035</v>
      </c>
      <c r="I6" s="3288" t="s">
        <v>1403</v>
      </c>
      <c r="J6" s="346">
        <f ca="1">ROUND(M6*M8*M7*(1-M9),0)</f>
        <v>0</v>
      </c>
      <c r="K6" s="1835" t="s">
        <v>3025</v>
      </c>
      <c r="L6" s="347" t="s">
        <v>1405</v>
      </c>
      <c r="M6" s="348">
        <f ca="1">INDIRECT("'数据-取费表'!z"&amp;$G$1)</f>
        <v>0</v>
      </c>
    </row>
    <row r="7" spans="1:37" ht="18" customHeight="1">
      <c r="A7" s="1296"/>
      <c r="B7" s="3289"/>
      <c r="C7" s="1298"/>
      <c r="D7" s="352"/>
      <c r="E7" s="1299" t="s">
        <v>1406</v>
      </c>
      <c r="F7" s="348">
        <f ca="1">IF(INDIRECT("'数据-取费表'!ah"&amp;$G$1)="",INDIRECT("'数据-取费表'!k"&amp;$G$1),INDIRECT("'数据-取费表'!ah"&amp;$G$1))</f>
        <v>0</v>
      </c>
      <c r="G7" s="1852"/>
      <c r="H7" s="349"/>
      <c r="I7" s="3289"/>
      <c r="J7" s="351"/>
      <c r="K7" s="352"/>
      <c r="L7" s="347" t="s">
        <v>1406</v>
      </c>
      <c r="M7" s="348">
        <f ca="1">F7</f>
        <v>0</v>
      </c>
    </row>
    <row r="8" spans="1:37" ht="18" customHeight="1">
      <c r="A8" s="349"/>
      <c r="B8" s="3289"/>
      <c r="C8" s="351"/>
      <c r="D8" s="352"/>
      <c r="E8" s="347" t="s">
        <v>1407</v>
      </c>
      <c r="F8" s="348">
        <f ca="1">INDIRECT("'数据-取费表'!ai"&amp;$G$1)</f>
        <v>365</v>
      </c>
      <c r="G8" s="1852"/>
      <c r="H8" s="349"/>
      <c r="I8" s="3289"/>
      <c r="J8" s="351"/>
      <c r="K8" s="352"/>
      <c r="L8" s="347" t="s">
        <v>1407</v>
      </c>
      <c r="M8" s="348">
        <f ca="1">INDIRECT("'数据-取费表'!ai"&amp;$G$1)</f>
        <v>365</v>
      </c>
    </row>
    <row r="9" spans="1:37" ht="18" customHeight="1">
      <c r="A9" s="349"/>
      <c r="B9" s="3290"/>
      <c r="C9" s="351"/>
      <c r="D9" s="352"/>
      <c r="E9" s="347" t="s">
        <v>1408</v>
      </c>
      <c r="F9" s="357">
        <f ca="1">INDIRECT("'数据-取费表'!w"&amp;$G$1)</f>
        <v>0</v>
      </c>
      <c r="G9" s="1852"/>
      <c r="H9" s="349"/>
      <c r="I9" s="3290"/>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c r="G10" s="1852"/>
      <c r="H10" s="1292" t="s">
        <v>1039</v>
      </c>
      <c r="I10" s="1824" t="s">
        <v>1409</v>
      </c>
      <c r="J10" s="346">
        <f ca="1">ROUND(IF(M10="押一",J6/12*M11,IF(M10="押二",J6/12*2*M11,IF(M10="押三",J6/12*3*M11,J11*M11))),0)</f>
        <v>0</v>
      </c>
      <c r="K10" s="1836" t="s">
        <v>3037</v>
      </c>
      <c r="L10" s="358" t="s">
        <v>1410</v>
      </c>
      <c r="M10" s="1367"/>
    </row>
    <row r="11" spans="1:37" ht="18" customHeight="1">
      <c r="A11" s="353"/>
      <c r="B11" s="1826" t="s">
        <v>1601</v>
      </c>
      <c r="C11" s="1179"/>
      <c r="D11" s="352"/>
      <c r="E11" s="358" t="s">
        <v>1411</v>
      </c>
      <c r="F11" s="359">
        <f ca="1">'数据-取费表'!B39</f>
        <v>1.4999999999999999E-2</v>
      </c>
      <c r="G11" s="1852"/>
      <c r="H11" s="1300"/>
      <c r="I11" s="1826" t="s">
        <v>1602</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7" t="s">
        <v>1416</v>
      </c>
      <c r="C14" s="363">
        <f ca="1">ROUND(INDIRECT("'数据-取费表'!l"&amp;$G$1)*F43+'数据-取费表'!L14*INDIRECT("'数据-取费表'!S"&amp;$G$1),0)</f>
        <v>0</v>
      </c>
      <c r="D14" s="1801" t="s">
        <v>1417</v>
      </c>
      <c r="E14" s="1795"/>
      <c r="F14" s="364"/>
      <c r="G14" s="1852"/>
      <c r="H14" s="1202" t="s">
        <v>1035</v>
      </c>
      <c r="I14" s="347" t="s">
        <v>1418</v>
      </c>
      <c r="J14" s="24">
        <f ca="1">C29</f>
        <v>0</v>
      </c>
      <c r="K14" s="15"/>
      <c r="L14" s="980"/>
      <c r="M14" s="981"/>
    </row>
    <row r="15" spans="1:37" s="1859" customFormat="1" ht="18" customHeight="1" thickBot="1">
      <c r="A15" s="1202" t="s">
        <v>1036</v>
      </c>
      <c r="B15" s="347" t="s">
        <v>1419</v>
      </c>
      <c r="C15" s="24">
        <f ca="1">ROUND(C14*F15,0)</f>
        <v>0</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2"/>
      <c r="H16" s="1330" t="s">
        <v>1030</v>
      </c>
      <c r="I16" s="1331" t="s">
        <v>1423</v>
      </c>
      <c r="J16" s="355">
        <f ca="1">ROUND(J17+J22+J23+J24,0)</f>
        <v>0</v>
      </c>
      <c r="K16" s="1338" t="s">
        <v>1424</v>
      </c>
      <c r="L16" s="1339"/>
      <c r="M16" s="1295"/>
    </row>
    <row r="17" spans="1:37" s="1859" customFormat="1" ht="18" customHeight="1">
      <c r="A17" s="1202" t="s">
        <v>1390</v>
      </c>
      <c r="B17" s="347" t="s">
        <v>1425</v>
      </c>
      <c r="C17" s="24">
        <f ca="1">ROUND(F17*(F43+INDIRECT("'数据-取费表'!S"&amp;$G$1)),0)</f>
        <v>0</v>
      </c>
      <c r="D17" s="347" t="s">
        <v>1426</v>
      </c>
      <c r="E17" s="347" t="s">
        <v>1427</v>
      </c>
      <c r="F17" s="26">
        <f>'数据-取费表'!B35</f>
        <v>200</v>
      </c>
      <c r="G17" s="1855"/>
      <c r="H17" s="1202" t="s">
        <v>1035</v>
      </c>
      <c r="I17" s="347" t="s">
        <v>1428</v>
      </c>
      <c r="J17" s="24">
        <f ca="1">ROUND(IF(项目基本情况!B11="自然人",J5*M17,J18+J19+J20),0)</f>
        <v>0</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0</v>
      </c>
      <c r="D18" s="347" t="s">
        <v>1420</v>
      </c>
      <c r="E18" s="347" t="s">
        <v>1421</v>
      </c>
      <c r="F18" s="367">
        <f>'数据-取费表'!B36</f>
        <v>1.4999999999999999E-2</v>
      </c>
      <c r="G18" s="1855"/>
      <c r="H18" s="1202" t="s">
        <v>1034</v>
      </c>
      <c r="I18" s="347" t="s">
        <v>1432</v>
      </c>
      <c r="J18" s="24">
        <f ca="1">ROUND(J5*M18/(1+'数据-取费表'!C42),0)</f>
        <v>0</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0</v>
      </c>
      <c r="D19" s="140" t="s">
        <v>1435</v>
      </c>
      <c r="E19" s="1819"/>
      <c r="F19" s="26"/>
      <c r="G19" s="1852"/>
      <c r="H19" s="1202" t="s">
        <v>1036</v>
      </c>
      <c r="I19" s="347" t="s">
        <v>1436</v>
      </c>
      <c r="J19" s="24">
        <f ca="1">IF(K19="按租金收入计税",ROUND(J5*M19,0),ROUND(C29*M19*0.7,0))</f>
        <v>0</v>
      </c>
      <c r="K19" s="1829" t="s">
        <v>1437</v>
      </c>
      <c r="L19" s="347" t="s">
        <v>1421</v>
      </c>
      <c r="M19" s="367">
        <f>IF(K19="按租金收入计税",'数据-取费表'!B51,'数据-取费表'!B50)</f>
        <v>1.2E-2</v>
      </c>
    </row>
    <row r="20" spans="1:37" s="1859" customFormat="1" ht="18" customHeight="1">
      <c r="A20" s="1202" t="s">
        <v>1039</v>
      </c>
      <c r="B20" s="347" t="s">
        <v>1438</v>
      </c>
      <c r="C20" s="24">
        <f ca="1">ROUND(C19*F20,0)</f>
        <v>0</v>
      </c>
      <c r="D20" s="369" t="s">
        <v>1439</v>
      </c>
      <c r="E20" s="347" t="s">
        <v>1421</v>
      </c>
      <c r="F20" s="367">
        <f>'数据-取费表'!B37</f>
        <v>0.02</v>
      </c>
      <c r="G20" s="1855"/>
      <c r="H20" s="1202" t="s">
        <v>1389</v>
      </c>
      <c r="I20" s="164" t="s">
        <v>1440</v>
      </c>
      <c r="J20" s="25">
        <f ca="1">ROUND(M20*M21,0)</f>
        <v>0</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v>
      </c>
      <c r="D21" s="369" t="s">
        <v>1444</v>
      </c>
      <c r="E21" s="347" t="s">
        <v>1445</v>
      </c>
      <c r="F21" s="367">
        <f>'数据-取费表'!B38</f>
        <v>0.02</v>
      </c>
      <c r="G21" s="1855"/>
      <c r="H21" s="372"/>
      <c r="I21" s="356"/>
      <c r="J21" s="29"/>
      <c r="K21" s="373"/>
      <c r="L21" s="347" t="s">
        <v>1446</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ROUND(J14*M22,0)</f>
        <v>0</v>
      </c>
      <c r="K22" s="1799" t="s">
        <v>1449</v>
      </c>
      <c r="L22" s="347" t="s">
        <v>1421</v>
      </c>
      <c r="M22" s="374">
        <f ca="1">INDIRECT("'数据-取费表'!Ak"&amp;$G$1)</f>
        <v>0</v>
      </c>
    </row>
    <row r="23" spans="1:37" s="1859"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ROUND(J13*M23,0)</f>
        <v>0</v>
      </c>
      <c r="K23" s="1799" t="s">
        <v>1453</v>
      </c>
      <c r="L23" s="347" t="s">
        <v>1454</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7" t="s">
        <v>1460</v>
      </c>
      <c r="C25" s="24"/>
      <c r="D25" s="140" t="s">
        <v>1461</v>
      </c>
      <c r="E25" s="1819"/>
      <c r="F25" s="26"/>
      <c r="G25" s="1852"/>
      <c r="H25" s="1330" t="s">
        <v>1031</v>
      </c>
      <c r="I25" s="1345" t="s">
        <v>1462</v>
      </c>
      <c r="J25" s="355">
        <f ca="1">J5-J16</f>
        <v>0</v>
      </c>
      <c r="K25" s="1346" t="s">
        <v>1463</v>
      </c>
      <c r="L25" s="1347"/>
      <c r="M25" s="1348"/>
    </row>
    <row r="26" spans="1:37" ht="18" customHeight="1">
      <c r="A26" s="1202" t="s">
        <v>1034</v>
      </c>
      <c r="B26" s="347" t="s">
        <v>1464</v>
      </c>
      <c r="C26" s="24">
        <f ca="1">ROUND((C19+C20)*F26,0)</f>
        <v>0</v>
      </c>
      <c r="D26" s="369" t="s">
        <v>1465</v>
      </c>
      <c r="E26" s="358" t="s">
        <v>1466</v>
      </c>
      <c r="F26" s="357">
        <f ca="1">INDIRECT("'数据-取费表'!q"&amp;$G$1)</f>
        <v>0</v>
      </c>
      <c r="G26" s="1852"/>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80" t="s">
        <v>1033</v>
      </c>
      <c r="I29" s="381" t="s">
        <v>1478</v>
      </c>
      <c r="J29" s="382">
        <f ca="1">ROUND(J26/(1+F40)^F41,0)</f>
        <v>0</v>
      </c>
      <c r="K29" s="383" t="s">
        <v>1479</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0</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ROUND(IF(项目基本情况!B11="自然人",C5*F31,C32+C33+C34),0)</f>
        <v>0</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IF(项目基本情况!B11="自然人","——",ROUND(C5*F32/(1+'数据-取费表'!C42),0))</f>
        <v>0</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9" t="s">
        <v>1437</v>
      </c>
      <c r="E33" s="347" t="s">
        <v>1421</v>
      </c>
      <c r="F33" s="367">
        <f>IF(D33="按票据","——",IF(D33="按租金收入计税",'数据-取费表'!B51,'数据-取费表'!B50))</f>
        <v>1.2E-2</v>
      </c>
      <c r="G33" s="1852"/>
      <c r="H33" s="1860"/>
      <c r="I33" s="1861"/>
      <c r="J33" s="1862"/>
      <c r="K33" s="1863"/>
      <c r="L33" s="1860"/>
      <c r="M33" s="1860"/>
    </row>
    <row r="34" spans="1:18" ht="18" customHeight="1">
      <c r="A34" s="1292" t="s">
        <v>1389</v>
      </c>
      <c r="B34" s="164" t="s">
        <v>1440</v>
      </c>
      <c r="C34" s="25">
        <f ca="1">IF(项目基本情况!B11="自然人","——",ROUND(F34*F35,))</f>
        <v>0</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0</v>
      </c>
      <c r="G35" s="1852"/>
      <c r="H35" s="743"/>
      <c r="I35" s="1861"/>
      <c r="J35" s="1862"/>
      <c r="K35" s="1863"/>
      <c r="L35" s="1860"/>
      <c r="M35" s="1860"/>
    </row>
    <row r="36" spans="1:18" ht="18" customHeight="1">
      <c r="A36" s="1353" t="s">
        <v>1039</v>
      </c>
      <c r="B36" s="347" t="s">
        <v>1448</v>
      </c>
      <c r="C36" s="24">
        <f ca="1">ROUND(C29*F36,0)</f>
        <v>0</v>
      </c>
      <c r="D36" s="1799" t="s">
        <v>1481</v>
      </c>
      <c r="E36" s="347" t="s">
        <v>1421</v>
      </c>
      <c r="F36" s="374">
        <f ca="1">INDIRECT("'数据-取费表'!Ak"&amp;$G$1)</f>
        <v>0</v>
      </c>
      <c r="G36" s="1852"/>
      <c r="H36" s="1860"/>
      <c r="I36" s="1861"/>
      <c r="J36" s="1862"/>
      <c r="K36" s="749"/>
      <c r="L36" s="1860"/>
      <c r="M36" s="1860"/>
    </row>
    <row r="37" spans="1:18" ht="18" customHeight="1">
      <c r="A37" s="1202" t="s">
        <v>1075</v>
      </c>
      <c r="B37" s="347" t="s">
        <v>1452</v>
      </c>
      <c r="C37" s="24">
        <f ca="1">ROUND(C13*F37,0)</f>
        <v>0</v>
      </c>
      <c r="D37" s="1799" t="s">
        <v>1453</v>
      </c>
      <c r="E37" s="347" t="s">
        <v>1454</v>
      </c>
      <c r="F37" s="376">
        <f ca="1">INDIRECT("'数据-取费表'!Al"&amp;$G$1)</f>
        <v>0</v>
      </c>
      <c r="G37" s="1852"/>
      <c r="H37" s="1860"/>
      <c r="I37" s="1861"/>
      <c r="J37" s="1862"/>
      <c r="K37" s="749"/>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5">
        <f ca="1">C5-C30</f>
        <v>0</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#DIV/0!</v>
      </c>
      <c r="D40" s="370" t="s">
        <v>1468</v>
      </c>
      <c r="E40" s="347" t="s">
        <v>1469</v>
      </c>
      <c r="F40" s="357">
        <f ca="1">INDIRECT("'数据-取费表'!I"&amp;$G$1)</f>
        <v>0</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5"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5" thickBot="1">
      <c r="A47" s="1166" t="s">
        <v>1396</v>
      </c>
      <c r="B47" s="1198" t="s">
        <v>1397</v>
      </c>
      <c r="C47" s="1198" t="s">
        <v>1398</v>
      </c>
      <c r="D47" s="1198" t="s">
        <v>1399</v>
      </c>
      <c r="E47" s="1280" t="s">
        <v>1400</v>
      </c>
      <c r="F47" s="1281"/>
      <c r="G47" s="790"/>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28.5" thickBot="1">
      <c r="A48" s="1361" t="s">
        <v>1135</v>
      </c>
      <c r="B48" s="345" t="s">
        <v>1401</v>
      </c>
      <c r="C48" s="1818">
        <f ca="1">C49+C53+C55</f>
        <v>0</v>
      </c>
      <c r="D48" s="1363"/>
      <c r="E48" s="1364"/>
      <c r="F48" s="1182"/>
      <c r="G48" s="790"/>
      <c r="H48" s="791"/>
      <c r="I48" s="1888" t="s">
        <v>1529</v>
      </c>
      <c r="J48" s="1889"/>
      <c r="K48" s="1890" t="s">
        <v>1530</v>
      </c>
      <c r="L48" s="1891">
        <f ca="1">INDIRECT("'数据-取费表'!f"&amp;$G$1)</f>
        <v>0</v>
      </c>
      <c r="O48" s="1885" t="s">
        <v>1041</v>
      </c>
      <c r="P48" s="1886" t="s">
        <v>1531</v>
      </c>
      <c r="Q48" s="1887" t="e">
        <f ca="1">J60</f>
        <v>#DIV/0!</v>
      </c>
      <c r="R48" s="1887" t="s">
        <v>1532</v>
      </c>
    </row>
    <row r="49" spans="1:18" s="1843" customFormat="1" ht="13.5" thickBot="1">
      <c r="A49" s="1195" t="s">
        <v>1136</v>
      </c>
      <c r="B49" s="1830" t="s">
        <v>1489</v>
      </c>
      <c r="C49" s="1365">
        <f ca="1">ROUND(F49*F51*F50*(1-F52),0)</f>
        <v>0</v>
      </c>
      <c r="D49" s="1277" t="s">
        <v>1404</v>
      </c>
      <c r="E49" s="1831" t="s">
        <v>1490</v>
      </c>
      <c r="F49" s="1282"/>
      <c r="G49" s="1892"/>
      <c r="H49" s="791"/>
      <c r="I49" s="1888" t="s">
        <v>1533</v>
      </c>
      <c r="J49" s="1893"/>
      <c r="K49" s="1890" t="s">
        <v>1534</v>
      </c>
      <c r="L49" s="1894"/>
      <c r="O49" s="1895" t="s">
        <v>1042</v>
      </c>
      <c r="P49" s="1886" t="s">
        <v>1535</v>
      </c>
      <c r="Q49" s="1887">
        <f ca="1">C29</f>
        <v>0</v>
      </c>
      <c r="R49" s="1887" t="s">
        <v>1528</v>
      </c>
    </row>
    <row r="50" spans="1:18" s="1843" customFormat="1" ht="13.5" thickBot="1">
      <c r="A50" s="1196"/>
      <c r="B50" s="1199"/>
      <c r="C50" s="1200"/>
      <c r="D50" s="1173"/>
      <c r="E50" s="1278" t="s">
        <v>1406</v>
      </c>
      <c r="F50" s="1279">
        <f ca="1">F7</f>
        <v>0</v>
      </c>
      <c r="H50" s="791"/>
      <c r="I50" s="1888" t="s">
        <v>1536</v>
      </c>
      <c r="J50" s="1896">
        <f>SUMPRODUCT((I63:I65=J47)*(J62:L62=J48)*(J63:L65))</f>
        <v>0</v>
      </c>
      <c r="K50" s="1890" t="s">
        <v>1537</v>
      </c>
      <c r="L50" s="1894"/>
      <c r="M50" s="1897"/>
      <c r="O50" s="1895" t="s">
        <v>1043</v>
      </c>
      <c r="P50" s="1886" t="s">
        <v>1538</v>
      </c>
      <c r="Q50" s="1898" t="e">
        <f ca="1">J58</f>
        <v>#DIV/0!</v>
      </c>
      <c r="R50" s="1887"/>
    </row>
    <row r="51" spans="1:18" s="1843" customFormat="1" ht="13.5" thickBot="1">
      <c r="A51" s="1197"/>
      <c r="B51" s="1199"/>
      <c r="C51" s="1200"/>
      <c r="D51" s="1173"/>
      <c r="E51" s="1201" t="s">
        <v>1407</v>
      </c>
      <c r="F51" s="348">
        <f ca="1">F8</f>
        <v>365</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5"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9" t="s">
        <v>1409</v>
      </c>
      <c r="C53" s="361">
        <f ca="1">ROUND(IF(F53="押一",C49/12*F11,IF(F53="押二",C49/12*2*F11,IF(F53="押三",C49/12*3*F11,C54*F11))),0)</f>
        <v>0</v>
      </c>
      <c r="D53" s="1825" t="s">
        <v>3038</v>
      </c>
      <c r="E53" s="358" t="s">
        <v>1410</v>
      </c>
      <c r="F53" s="1367"/>
      <c r="I53" s="1906" t="s">
        <v>1546</v>
      </c>
      <c r="J53" s="1907" t="b">
        <f>IF(M47="住宅",J51,IF(D1="——",MIN(J51,L48),IF(D1="在建（套用方法）",MIN(J51,L48-'数据-取费表'!B24),IF(D1="土地（套用方法）",MIN(J51,L48-'数据-取费表'!B20)))))</f>
        <v>0</v>
      </c>
      <c r="K53" s="3286" t="s">
        <v>1547</v>
      </c>
      <c r="L53" s="3287"/>
      <c r="O53" s="1885" t="s">
        <v>1046</v>
      </c>
      <c r="P53" s="1886" t="s">
        <v>1548</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6">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75" thickBot="1">
      <c r="A57" s="1919"/>
      <c r="B57" s="1170" t="s">
        <v>1477</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60" t="s">
        <v>1030</v>
      </c>
      <c r="B58" s="1178" t="s">
        <v>1423</v>
      </c>
      <c r="C58" s="361">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1494</v>
      </c>
      <c r="B62" s="1169" t="s">
        <v>1495</v>
      </c>
      <c r="C62" s="25">
        <f ca="1">IF(项目基本情况!B11="自然人","——",ROUND(F62*F63,0))</f>
        <v>0</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2"/>
      <c r="B63" s="1176"/>
      <c r="C63" s="29"/>
      <c r="D63" s="1186"/>
      <c r="E63" s="1170" t="s">
        <v>1498</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ROUND(C57*F64,0)</f>
        <v>0</v>
      </c>
      <c r="D64" s="1184" t="s">
        <v>1501</v>
      </c>
      <c r="E64" s="1170" t="s">
        <v>1493</v>
      </c>
      <c r="F64" s="374">
        <f t="shared" ca="1" si="0"/>
        <v>0</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ROUND(C56*F65,0)</f>
        <v>0</v>
      </c>
      <c r="D65" s="1184" t="s">
        <v>1453</v>
      </c>
      <c r="E65" s="1170" t="s">
        <v>1454</v>
      </c>
      <c r="F65" s="376">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5" thickBot="1">
      <c r="A66" s="1202" t="s">
        <v>1503</v>
      </c>
      <c r="B66" s="1170" t="s">
        <v>1438</v>
      </c>
      <c r="C66" s="24">
        <f ca="1">ROUND(C48*F66,0)</f>
        <v>0</v>
      </c>
      <c r="D66" s="1184" t="s">
        <v>1504</v>
      </c>
      <c r="E66" s="1170" t="s">
        <v>1421</v>
      </c>
      <c r="F66" s="357">
        <f t="shared" ca="1" si="0"/>
        <v>0</v>
      </c>
      <c r="O66" s="1885" t="s">
        <v>1041</v>
      </c>
      <c r="P66" s="1886" t="s">
        <v>1557</v>
      </c>
      <c r="Q66" s="1887" t="e">
        <f ca="1">L60</f>
        <v>#DIV/0!</v>
      </c>
      <c r="R66" s="1887" t="s">
        <v>1580</v>
      </c>
    </row>
    <row r="67" spans="1:18" s="1843" customFormat="1" ht="16.5" thickBot="1">
      <c r="A67" s="1177" t="s">
        <v>1031</v>
      </c>
      <c r="B67" s="1187" t="s">
        <v>1462</v>
      </c>
      <c r="C67" s="361">
        <f ca="1">C48-C58</f>
        <v>0</v>
      </c>
      <c r="D67" s="1183" t="s">
        <v>1463</v>
      </c>
      <c r="E67" s="1188"/>
      <c r="F67" s="1189"/>
      <c r="O67" s="1895" t="s">
        <v>1042</v>
      </c>
      <c r="P67" s="1886" t="s">
        <v>1561</v>
      </c>
      <c r="Q67" s="1934">
        <f ca="1">L51</f>
        <v>0</v>
      </c>
      <c r="R67" s="1887" t="s">
        <v>1581</v>
      </c>
    </row>
    <row r="68" spans="1:18" s="1843" customFormat="1" ht="16.5" thickBot="1">
      <c r="A68" s="1167" t="s">
        <v>1032</v>
      </c>
      <c r="B68" s="1168" t="s">
        <v>1484</v>
      </c>
      <c r="C68" s="346" t="e">
        <f ca="1">ROUND(C67*(1-((1+F70)/(1+F68))^F69)/(F68-F70),0)</f>
        <v>#DIV/0!</v>
      </c>
      <c r="D68" s="1185" t="s">
        <v>1468</v>
      </c>
      <c r="E68" s="1170" t="s">
        <v>1469</v>
      </c>
      <c r="F68" s="357">
        <f ca="1">F40</f>
        <v>0</v>
      </c>
      <c r="O68" s="1895" t="s">
        <v>1043</v>
      </c>
      <c r="P68" s="1935" t="s">
        <v>1582</v>
      </c>
      <c r="Q68" s="1887">
        <f ca="1">ROUND(Q69-Q70*Q71,0)</f>
        <v>0</v>
      </c>
      <c r="R68" s="1887" t="s">
        <v>1051</v>
      </c>
    </row>
    <row r="69" spans="1:18" s="1843" customFormat="1" ht="13.5" thickBot="1">
      <c r="A69" s="1171"/>
      <c r="B69" s="1172"/>
      <c r="C69" s="351"/>
      <c r="D69" s="1190" t="s">
        <v>1472</v>
      </c>
      <c r="E69" s="1170" t="s">
        <v>1473</v>
      </c>
      <c r="F69" s="379">
        <f ca="1">F41</f>
        <v>0</v>
      </c>
      <c r="O69" s="1895" t="s">
        <v>1048</v>
      </c>
      <c r="P69" s="1935" t="s">
        <v>1583</v>
      </c>
      <c r="Q69" s="1887">
        <f ca="1">C39</f>
        <v>0</v>
      </c>
      <c r="R69" s="1887" t="s">
        <v>1528</v>
      </c>
    </row>
    <row r="70" spans="1:18" s="1843" customFormat="1" ht="13.5" thickBot="1">
      <c r="A70" s="1174"/>
      <c r="B70" s="1175"/>
      <c r="C70" s="355"/>
      <c r="D70" s="1186"/>
      <c r="E70" s="1170" t="s">
        <v>1476</v>
      </c>
      <c r="F70" s="1276">
        <f ca="1">F42</f>
        <v>0</v>
      </c>
      <c r="O70" s="1895" t="s">
        <v>1049</v>
      </c>
      <c r="P70" s="1935" t="s">
        <v>1584</v>
      </c>
      <c r="Q70" s="1887">
        <f ca="1">C13</f>
        <v>0</v>
      </c>
      <c r="R70" s="1887" t="s">
        <v>1528</v>
      </c>
    </row>
    <row r="71" spans="1:18" s="1843" customFormat="1" ht="13.5" thickBot="1">
      <c r="A71" s="1191" t="s">
        <v>1033</v>
      </c>
      <c r="B71" s="1192" t="s">
        <v>1486</v>
      </c>
      <c r="C71" s="382" t="e">
        <f ca="1">ROUND(C68/F71,0)</f>
        <v>#DIV/0!</v>
      </c>
      <c r="D71" s="1193" t="s">
        <v>1487</v>
      </c>
      <c r="E71" s="1194" t="s">
        <v>1488</v>
      </c>
      <c r="F71" s="385">
        <f ca="1">F43</f>
        <v>0</v>
      </c>
      <c r="O71" s="1895" t="s">
        <v>1050</v>
      </c>
      <c r="P71" s="1935" t="s">
        <v>1585</v>
      </c>
      <c r="Q71" s="1898">
        <f ca="1">C76</f>
        <v>0</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6" t="s">
        <v>1505</v>
      </c>
      <c r="C75" s="387">
        <f ca="1">ROUND(C13*C76,0)</f>
        <v>0</v>
      </c>
      <c r="D75" s="1843"/>
      <c r="E75" s="1843"/>
      <c r="F75" s="1843"/>
      <c r="K75" s="1869"/>
      <c r="L75" s="1843"/>
      <c r="O75" s="1885" t="s">
        <v>1046</v>
      </c>
      <c r="P75" s="1886" t="s">
        <v>1548</v>
      </c>
      <c r="Q75" s="1887" t="e">
        <f ca="1">Q65+Q66</f>
        <v>#DIV/0!</v>
      </c>
      <c r="R75" s="1887" t="s">
        <v>1047</v>
      </c>
    </row>
    <row r="76" spans="1:18">
      <c r="B76" s="388" t="s">
        <v>1506</v>
      </c>
      <c r="C76" s="389">
        <f ca="1">INDIRECT("'数据-取费表'!j"&amp;$G$1)</f>
        <v>0</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91" t="s">
        <v>1076</v>
      </c>
      <c r="B1" s="3292"/>
      <c r="C1" s="3293"/>
      <c r="D1" s="3294">
        <f>SUM(I10,I15,I20,I21,I23)</f>
        <v>0</v>
      </c>
      <c r="E1" s="3294"/>
      <c r="F1" s="3294"/>
      <c r="G1" s="3294"/>
      <c r="H1" s="3294"/>
      <c r="I1" s="3295"/>
    </row>
    <row r="2" spans="1:9">
      <c r="A2" s="3296" t="s">
        <v>1077</v>
      </c>
      <c r="B2" s="3297" t="s">
        <v>1078</v>
      </c>
      <c r="C2" s="3297"/>
      <c r="D2" s="1302" t="s">
        <v>1079</v>
      </c>
      <c r="E2" s="1302" t="s">
        <v>1080</v>
      </c>
      <c r="F2" s="1302" t="s">
        <v>1081</v>
      </c>
      <c r="G2" s="1302" t="s">
        <v>1082</v>
      </c>
      <c r="H2" s="1302" t="s">
        <v>1083</v>
      </c>
      <c r="I2" s="1303" t="s">
        <v>1084</v>
      </c>
    </row>
    <row r="3" spans="1:9">
      <c r="A3" s="3296"/>
      <c r="B3" s="3297" t="s">
        <v>1085</v>
      </c>
      <c r="C3" s="3297"/>
      <c r="D3" s="1304"/>
      <c r="E3" s="1302"/>
      <c r="F3" s="1305"/>
      <c r="G3" s="1305"/>
      <c r="H3" s="1306"/>
      <c r="I3" s="1307">
        <f>ROUND(D3*E3*F3*G3*H3/10000,0)</f>
        <v>0</v>
      </c>
    </row>
    <row r="4" spans="1:9">
      <c r="A4" s="3296"/>
      <c r="B4" s="3297" t="s">
        <v>1086</v>
      </c>
      <c r="C4" s="3297"/>
      <c r="D4" s="1304"/>
      <c r="E4" s="1302"/>
      <c r="F4" s="1305"/>
      <c r="G4" s="1305"/>
      <c r="H4" s="1306"/>
      <c r="I4" s="1307">
        <f t="shared" ref="I4:I9" si="0">ROUND(D4*E4*F4*G4*H4/10000,0)</f>
        <v>0</v>
      </c>
    </row>
    <row r="5" spans="1:9">
      <c r="A5" s="3296"/>
      <c r="B5" s="3297" t="s">
        <v>1087</v>
      </c>
      <c r="C5" s="3297"/>
      <c r="D5" s="1304"/>
      <c r="E5" s="1302"/>
      <c r="F5" s="1305"/>
      <c r="G5" s="1305"/>
      <c r="H5" s="1306"/>
      <c r="I5" s="1307">
        <f t="shared" si="0"/>
        <v>0</v>
      </c>
    </row>
    <row r="6" spans="1:9">
      <c r="A6" s="3296"/>
      <c r="B6" s="3297" t="s">
        <v>1088</v>
      </c>
      <c r="C6" s="3297"/>
      <c r="D6" s="1304"/>
      <c r="E6" s="1302"/>
      <c r="F6" s="1305"/>
      <c r="G6" s="1305"/>
      <c r="H6" s="1306"/>
      <c r="I6" s="1307">
        <f t="shared" si="0"/>
        <v>0</v>
      </c>
    </row>
    <row r="7" spans="1:9">
      <c r="A7" s="3296"/>
      <c r="B7" s="3297" t="s">
        <v>1089</v>
      </c>
      <c r="C7" s="3297"/>
      <c r="D7" s="1304"/>
      <c r="E7" s="1302"/>
      <c r="F7" s="1305"/>
      <c r="G7" s="1305"/>
      <c r="H7" s="1306"/>
      <c r="I7" s="1307">
        <f t="shared" si="0"/>
        <v>0</v>
      </c>
    </row>
    <row r="8" spans="1:9">
      <c r="A8" s="3296"/>
      <c r="B8" s="3297" t="s">
        <v>1090</v>
      </c>
      <c r="C8" s="3297"/>
      <c r="D8" s="1304"/>
      <c r="E8" s="1302"/>
      <c r="F8" s="1305"/>
      <c r="G8" s="1305"/>
      <c r="H8" s="1306"/>
      <c r="I8" s="1307">
        <f t="shared" si="0"/>
        <v>0</v>
      </c>
    </row>
    <row r="9" spans="1:9">
      <c r="A9" s="3296"/>
      <c r="B9" s="3297" t="s">
        <v>1091</v>
      </c>
      <c r="C9" s="3297"/>
      <c r="D9" s="1304"/>
      <c r="E9" s="1302"/>
      <c r="F9" s="1305"/>
      <c r="G9" s="1305"/>
      <c r="H9" s="1306"/>
      <c r="I9" s="1307">
        <f t="shared" si="0"/>
        <v>0</v>
      </c>
    </row>
    <row r="10" spans="1:9">
      <c r="A10" s="3296"/>
      <c r="B10" s="3298" t="s">
        <v>1092</v>
      </c>
      <c r="C10" s="3298"/>
      <c r="D10" s="1308"/>
      <c r="E10" s="1308" t="e">
        <f>ROUND(D1*10000/D10/H9,0)</f>
        <v>#DIV/0!</v>
      </c>
      <c r="F10" s="1309"/>
      <c r="G10" s="1309"/>
      <c r="H10" s="1310"/>
      <c r="I10" s="1311">
        <f>SUM(I3:I9)</f>
        <v>0</v>
      </c>
    </row>
    <row r="11" spans="1:9" ht="14.25">
      <c r="A11" s="3296" t="s">
        <v>1093</v>
      </c>
      <c r="B11" s="3297" t="s">
        <v>1094</v>
      </c>
      <c r="C11" s="3297"/>
      <c r="D11" s="1304" t="s">
        <v>1095</v>
      </c>
      <c r="E11" s="1304" t="s">
        <v>1096</v>
      </c>
      <c r="F11" s="1305" t="s">
        <v>1097</v>
      </c>
      <c r="G11" s="1305" t="s">
        <v>1083</v>
      </c>
      <c r="H11" s="1312" t="s">
        <v>1098</v>
      </c>
      <c r="I11" s="1303" t="s">
        <v>1084</v>
      </c>
    </row>
    <row r="12" spans="1:9">
      <c r="A12" s="3296"/>
      <c r="B12" s="3297" t="s">
        <v>1099</v>
      </c>
      <c r="C12" s="3297"/>
      <c r="D12" s="1304"/>
      <c r="E12" s="1304"/>
      <c r="F12" s="1305"/>
      <c r="G12" s="1306"/>
      <c r="H12" s="1313"/>
      <c r="I12" s="1303">
        <f>ROUND(D12*E12*F12*G12/10000,0)</f>
        <v>0</v>
      </c>
    </row>
    <row r="13" spans="1:9">
      <c r="A13" s="3296"/>
      <c r="B13" s="3297" t="s">
        <v>1100</v>
      </c>
      <c r="C13" s="3297"/>
      <c r="D13" s="1304"/>
      <c r="E13" s="1304"/>
      <c r="F13" s="1305"/>
      <c r="G13" s="1306"/>
      <c r="H13" s="1313"/>
      <c r="I13" s="1303">
        <f>ROUND(D13*E13*F13*G13/10000,0)</f>
        <v>0</v>
      </c>
    </row>
    <row r="14" spans="1:9">
      <c r="A14" s="3296"/>
      <c r="B14" s="3297" t="s">
        <v>1101</v>
      </c>
      <c r="C14" s="3297"/>
      <c r="D14" s="1304"/>
      <c r="E14" s="1304"/>
      <c r="F14" s="1305"/>
      <c r="G14" s="1306"/>
      <c r="H14" s="1313"/>
      <c r="I14" s="1303">
        <f>ROUND(D14*E14*F14*G14/10000,0)</f>
        <v>0</v>
      </c>
    </row>
    <row r="15" spans="1:9">
      <c r="A15" s="3296"/>
      <c r="B15" s="3298" t="s">
        <v>1092</v>
      </c>
      <c r="C15" s="3298"/>
      <c r="D15" s="1308"/>
      <c r="E15" s="1308">
        <f>SUM(E12:E14)</f>
        <v>0</v>
      </c>
      <c r="F15" s="1309"/>
      <c r="G15" s="1306"/>
      <c r="H15" s="1313"/>
      <c r="I15" s="1314">
        <f>SUM(I12:I14)</f>
        <v>0</v>
      </c>
    </row>
    <row r="16" spans="1:9" ht="24">
      <c r="A16" s="3296" t="s">
        <v>1102</v>
      </c>
      <c r="B16" s="3297" t="s">
        <v>1103</v>
      </c>
      <c r="C16" s="3297"/>
      <c r="D16" s="1304" t="s">
        <v>1079</v>
      </c>
      <c r="E16" s="1315" t="s">
        <v>1104</v>
      </c>
      <c r="F16" s="1305" t="s">
        <v>1105</v>
      </c>
      <c r="G16" s="1306" t="s">
        <v>1083</v>
      </c>
      <c r="H16" s="1312" t="s">
        <v>1098</v>
      </c>
      <c r="I16" s="1303" t="s">
        <v>1084</v>
      </c>
    </row>
    <row r="17" spans="1:9" ht="14.25">
      <c r="A17" s="3296"/>
      <c r="B17" s="3297" t="s">
        <v>1106</v>
      </c>
      <c r="C17" s="3297"/>
      <c r="D17" s="1304"/>
      <c r="E17" s="1304"/>
      <c r="F17" s="1305"/>
      <c r="G17" s="1306"/>
      <c r="H17" s="1316"/>
      <c r="I17" s="1317">
        <f>ROUND(D17*E17*F17*G17/10000,0)</f>
        <v>0</v>
      </c>
    </row>
    <row r="18" spans="1:9" ht="14.25">
      <c r="A18" s="3296"/>
      <c r="B18" s="3297" t="s">
        <v>1107</v>
      </c>
      <c r="C18" s="3297"/>
      <c r="D18" s="1304"/>
      <c r="E18" s="1304"/>
      <c r="F18" s="1305"/>
      <c r="G18" s="1306"/>
      <c r="H18" s="1316"/>
      <c r="I18" s="1317">
        <f>ROUND(D18*E18*F18*G18/10000,0)</f>
        <v>0</v>
      </c>
    </row>
    <row r="19" spans="1:9" ht="14.25">
      <c r="A19" s="3296"/>
      <c r="B19" s="3297" t="s">
        <v>1108</v>
      </c>
      <c r="C19" s="3297"/>
      <c r="D19" s="1304"/>
      <c r="E19" s="1304"/>
      <c r="F19" s="1305"/>
      <c r="G19" s="1306"/>
      <c r="H19" s="1316"/>
      <c r="I19" s="1317">
        <f>ROUND(D19*E19*F19*G19/10000,0)</f>
        <v>0</v>
      </c>
    </row>
    <row r="20" spans="1:9">
      <c r="A20" s="3296"/>
      <c r="B20" s="3298" t="s">
        <v>1092</v>
      </c>
      <c r="C20" s="3298"/>
      <c r="D20" s="1308">
        <f>SUM(D17:D19)</f>
        <v>0</v>
      </c>
      <c r="E20" s="1308"/>
      <c r="F20" s="1309"/>
      <c r="G20" s="1306"/>
      <c r="H20" s="1313"/>
      <c r="I20" s="1314">
        <f>SUM(I17:I19)</f>
        <v>0</v>
      </c>
    </row>
    <row r="21" spans="1:9">
      <c r="A21" s="3296" t="s">
        <v>1109</v>
      </c>
      <c r="B21" s="3300"/>
      <c r="C21" s="3300"/>
      <c r="D21" s="3300"/>
      <c r="E21" s="3300"/>
      <c r="F21" s="3300"/>
      <c r="G21" s="3300"/>
      <c r="H21" s="1766">
        <v>0.1</v>
      </c>
      <c r="I21" s="1311">
        <f>ROUND(I10*H21,0)</f>
        <v>0</v>
      </c>
    </row>
    <row r="22" spans="1:9" ht="14.25">
      <c r="A22" s="3301" t="s">
        <v>1110</v>
      </c>
      <c r="B22" s="3302"/>
      <c r="C22" s="3303"/>
      <c r="D22" s="1318" t="s">
        <v>1111</v>
      </c>
      <c r="E22" s="1318" t="s">
        <v>1112</v>
      </c>
      <c r="F22" s="1319" t="s">
        <v>1113</v>
      </c>
      <c r="G22" s="1319" t="s">
        <v>1114</v>
      </c>
      <c r="H22" s="1312" t="s">
        <v>1115</v>
      </c>
      <c r="I22" s="1303" t="s">
        <v>1116</v>
      </c>
    </row>
    <row r="23" spans="1:9" ht="14.25" thickBot="1">
      <c r="A23" s="3304"/>
      <c r="B23" s="3305"/>
      <c r="C23" s="3306"/>
      <c r="D23" s="1320"/>
      <c r="E23" s="1320"/>
      <c r="F23" s="1320"/>
      <c r="G23" s="1321"/>
      <c r="H23" s="1322"/>
      <c r="I23" s="1323">
        <f>ROUND(E23*D23*F23*(1-G23)/10000,0)</f>
        <v>0</v>
      </c>
    </row>
    <row r="26" spans="1:9">
      <c r="A26" s="1324" t="s">
        <v>1117</v>
      </c>
      <c r="B26" s="1324"/>
      <c r="C26" s="1324"/>
      <c r="D26" s="1324"/>
      <c r="E26" s="3307">
        <f>C27-C30-C31-C32</f>
        <v>0</v>
      </c>
      <c r="F26" s="3307"/>
      <c r="G26" s="3307"/>
      <c r="H26" s="1738" t="s">
        <v>1340</v>
      </c>
    </row>
    <row r="27" spans="1:9">
      <c r="A27" s="1325">
        <v>1</v>
      </c>
      <c r="B27" s="1326" t="s">
        <v>1118</v>
      </c>
      <c r="C27" s="1326">
        <f>C28+C29</f>
        <v>0</v>
      </c>
      <c r="D27" s="1326"/>
      <c r="E27" s="3308"/>
      <c r="F27" s="3308"/>
      <c r="G27" s="3308"/>
    </row>
    <row r="28" spans="1:9">
      <c r="A28" s="1327" t="s">
        <v>1119</v>
      </c>
      <c r="B28" s="1326" t="s">
        <v>1120</v>
      </c>
      <c r="C28" s="1326"/>
      <c r="D28" s="1326"/>
      <c r="E28" s="3308"/>
      <c r="F28" s="3308"/>
      <c r="G28" s="330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99"/>
      <c r="F32" s="3299"/>
      <c r="G32" s="3299"/>
    </row>
    <row r="33" spans="1:7" hidden="1">
      <c r="A33" s="3309" t="s">
        <v>1129</v>
      </c>
      <c r="B33" s="3310"/>
      <c r="C33" s="3310"/>
      <c r="D33" s="3311"/>
      <c r="E33" s="3307"/>
      <c r="F33" s="3307"/>
      <c r="G33" s="3307"/>
    </row>
    <row r="34" spans="1:7" hidden="1">
      <c r="A34" s="1329">
        <v>1</v>
      </c>
      <c r="B34" s="1326" t="s">
        <v>1130</v>
      </c>
      <c r="C34" s="1326"/>
      <c r="D34" s="1326"/>
      <c r="E34" s="3308"/>
      <c r="F34" s="3308"/>
      <c r="G34" s="3308"/>
    </row>
    <row r="35" spans="1:7" hidden="1">
      <c r="A35" s="1329">
        <v>2</v>
      </c>
      <c r="B35" s="1326" t="s">
        <v>1131</v>
      </c>
      <c r="C35" s="1326"/>
      <c r="D35" s="1326"/>
      <c r="E35" s="3308"/>
      <c r="F35" s="3308"/>
      <c r="G35" s="3308"/>
    </row>
    <row r="36" spans="1:7" hidden="1">
      <c r="A36" s="1329">
        <v>3</v>
      </c>
      <c r="B36" s="1326" t="s">
        <v>1132</v>
      </c>
      <c r="C36" s="1326"/>
      <c r="D36" s="1326"/>
      <c r="E36" s="3308"/>
      <c r="F36" s="3308"/>
      <c r="G36" s="3308"/>
    </row>
    <row r="37" spans="1:7" hidden="1">
      <c r="A37" s="1329">
        <v>4</v>
      </c>
      <c r="B37" s="1326" t="s">
        <v>1133</v>
      </c>
      <c r="C37" s="1326"/>
      <c r="D37" s="1326"/>
      <c r="E37" s="3308"/>
      <c r="F37" s="3308"/>
      <c r="G37" s="3308"/>
    </row>
    <row r="38" spans="1:7" hidden="1">
      <c r="A38" s="3309" t="s">
        <v>1134</v>
      </c>
      <c r="B38" s="3310"/>
      <c r="C38" s="3310"/>
      <c r="D38" s="3311"/>
      <c r="E38" s="3307"/>
      <c r="F38" s="3307"/>
      <c r="G38" s="33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2524</v>
      </c>
      <c r="C1" s="1635" t="s">
        <v>2525</v>
      </c>
      <c r="D1" s="1622"/>
      <c r="E1" s="2586"/>
      <c r="F1" s="2587" t="s">
        <v>2526</v>
      </c>
      <c r="G1" s="1632" t="s">
        <v>2527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9"/>
      <c r="D2" s="1366" t="e">
        <f ca="1">SUMIF(INDIRECT("'"&amp;F2&amp;"'"&amp;"!A:A"),"承租人权益价值",INDIRECT("'"&amp;F2&amp;"'"&amp;"!c:c"))</f>
        <v>#REF!</v>
      </c>
      <c r="E2" s="2590" t="s">
        <v>2528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2496.59</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2530</v>
      </c>
      <c r="B4" s="402"/>
      <c r="C4" s="3259" t="s">
        <v>2531</v>
      </c>
      <c r="D4" s="3260"/>
      <c r="E4" s="3261" t="s">
        <v>2532</v>
      </c>
      <c r="F4" s="3262"/>
      <c r="G4" s="3259" t="s">
        <v>2533</v>
      </c>
      <c r="H4" s="3260"/>
      <c r="I4" s="3259" t="s">
        <v>2534</v>
      </c>
      <c r="J4" s="3260"/>
      <c r="K4" s="2599" t="s">
        <v>2535</v>
      </c>
      <c r="L4" s="1131"/>
      <c r="M4" s="1132"/>
      <c r="N4" s="1132"/>
      <c r="O4" s="1132"/>
      <c r="P4" s="3263" t="s">
        <v>2536</v>
      </c>
      <c r="Q4" s="3264"/>
      <c r="R4" s="3244" t="s">
        <v>2532</v>
      </c>
      <c r="S4" s="3245"/>
      <c r="T4" s="3244" t="s">
        <v>2533</v>
      </c>
      <c r="U4" s="3245"/>
      <c r="V4" s="3241" t="s">
        <v>2534</v>
      </c>
      <c r="W4" s="3241"/>
      <c r="X4" s="1814"/>
      <c r="Y4" s="3244" t="s">
        <v>2536</v>
      </c>
      <c r="Z4" s="3245"/>
      <c r="AA4" s="3238" t="s">
        <v>2532</v>
      </c>
      <c r="AB4" s="3238" t="s">
        <v>2533</v>
      </c>
      <c r="AC4" s="3238" t="s">
        <v>2534</v>
      </c>
    </row>
    <row r="5" spans="1:29" ht="15">
      <c r="A5" s="404"/>
      <c r="B5" s="405"/>
      <c r="C5" s="3250" t="s">
        <v>2537</v>
      </c>
      <c r="D5" s="3251"/>
      <c r="E5" s="3312" t="s">
        <v>2538</v>
      </c>
      <c r="F5" s="3249"/>
      <c r="G5" s="3250" t="s">
        <v>2539</v>
      </c>
      <c r="H5" s="3251"/>
      <c r="I5" s="3250" t="s">
        <v>2540</v>
      </c>
      <c r="J5" s="3251"/>
      <c r="K5" s="2600"/>
      <c r="L5" s="1131"/>
      <c r="M5" s="1132"/>
      <c r="N5" s="1132"/>
      <c r="O5" s="1132"/>
      <c r="P5" s="3265"/>
      <c r="Q5" s="3266"/>
      <c r="R5" s="3246"/>
      <c r="S5" s="3247"/>
      <c r="T5" s="3246"/>
      <c r="U5" s="3247"/>
      <c r="V5" s="3241"/>
      <c r="W5" s="3241"/>
      <c r="X5" s="1814"/>
      <c r="Y5" s="3246"/>
      <c r="Z5" s="3247"/>
      <c r="AA5" s="3239"/>
      <c r="AB5" s="3239"/>
      <c r="AC5" s="3239"/>
    </row>
    <row r="6" spans="1:29" ht="15.75" thickBot="1">
      <c r="A6" s="406"/>
      <c r="B6" s="407"/>
      <c r="C6" s="3252" t="s">
        <v>2541</v>
      </c>
      <c r="D6" s="3253"/>
      <c r="E6" s="3313" t="s">
        <v>2541</v>
      </c>
      <c r="F6" s="3256"/>
      <c r="G6" s="3252" t="s">
        <v>2541</v>
      </c>
      <c r="H6" s="3253"/>
      <c r="I6" s="3252" t="s">
        <v>2541</v>
      </c>
      <c r="J6" s="3253"/>
      <c r="K6" s="2600" t="s">
        <v>2542</v>
      </c>
      <c r="L6" s="1131"/>
      <c r="M6" s="1132"/>
      <c r="N6" s="1132"/>
      <c r="O6" s="1132"/>
      <c r="P6" s="3267"/>
      <c r="Q6" s="3268"/>
      <c r="R6" s="3246"/>
      <c r="S6" s="3247"/>
      <c r="T6" s="3269"/>
      <c r="U6" s="3270"/>
      <c r="V6" s="3241"/>
      <c r="W6" s="3241"/>
      <c r="X6" s="1814"/>
      <c r="Y6" s="3269"/>
      <c r="Z6" s="3270"/>
      <c r="AA6" s="3240"/>
      <c r="AB6" s="3240"/>
      <c r="AC6" s="3240"/>
    </row>
    <row r="7" spans="1:29" s="117" customFormat="1" ht="15.75" thickBot="1">
      <c r="A7" s="408" t="s">
        <v>2543</v>
      </c>
      <c r="B7" s="409"/>
      <c r="C7" s="410">
        <f>'数据-取费表'!B2</f>
        <v>43251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42" t="s">
        <v>2544</v>
      </c>
      <c r="Q7" s="3271"/>
      <c r="R7" s="768" t="s">
        <v>23</v>
      </c>
      <c r="S7" s="769">
        <f t="shared" ref="S7:S15" si="0">F7</f>
        <v>0</v>
      </c>
      <c r="T7" s="768" t="s">
        <v>23</v>
      </c>
      <c r="U7" s="769">
        <f t="shared" ref="U7:U15" si="1">H7</f>
        <v>0</v>
      </c>
      <c r="V7" s="768" t="s">
        <v>23</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42" t="s">
        <v>2547</v>
      </c>
      <c r="Q8" s="3243"/>
      <c r="R8" s="768" t="s">
        <v>23</v>
      </c>
      <c r="S8" s="769">
        <f t="shared" si="0"/>
        <v>0</v>
      </c>
      <c r="T8" s="768" t="s">
        <v>23</v>
      </c>
      <c r="U8" s="769">
        <f t="shared" si="1"/>
        <v>0</v>
      </c>
      <c r="V8" s="768" t="s">
        <v>23</v>
      </c>
      <c r="W8" s="769">
        <f t="shared" si="2"/>
        <v>0</v>
      </c>
      <c r="X8" s="770"/>
      <c r="Y8" s="3242" t="s">
        <v>2547</v>
      </c>
      <c r="Z8" s="3243"/>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58"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58"/>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58"/>
      <c r="Q11" s="1796" t="str">
        <f t="shared" si="6"/>
        <v>容积率</v>
      </c>
      <c r="R11" s="768" t="s">
        <v>21</v>
      </c>
      <c r="S11" s="769" t="e">
        <f t="shared" si="0"/>
        <v>#N/A</v>
      </c>
      <c r="T11" s="768" t="s">
        <v>21</v>
      </c>
      <c r="U11" s="769" t="e">
        <f t="shared" si="1"/>
        <v>#N/A</v>
      </c>
      <c r="V11" s="768" t="s">
        <v>21</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58"/>
      <c r="Q12" s="1796">
        <f t="shared" si="6"/>
        <v>111</v>
      </c>
      <c r="R12" s="768" t="s">
        <v>21</v>
      </c>
      <c r="S12" s="769">
        <f t="shared" si="0"/>
        <v>100</v>
      </c>
      <c r="T12" s="768" t="s">
        <v>21</v>
      </c>
      <c r="U12" s="769">
        <f t="shared" si="1"/>
        <v>100</v>
      </c>
      <c r="V12" s="768" t="s">
        <v>21</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58"/>
      <c r="Q13" s="1796">
        <f t="shared" si="6"/>
        <v>111</v>
      </c>
      <c r="R13" s="768" t="s">
        <v>21</v>
      </c>
      <c r="S13" s="769">
        <f t="shared" si="0"/>
        <v>100</v>
      </c>
      <c r="T13" s="768" t="s">
        <v>21</v>
      </c>
      <c r="U13" s="769">
        <f t="shared" si="1"/>
        <v>100</v>
      </c>
      <c r="V13" s="768" t="s">
        <v>21</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58"/>
      <c r="Q14" s="1796">
        <f t="shared" si="6"/>
        <v>111</v>
      </c>
      <c r="R14" s="768" t="s">
        <v>21</v>
      </c>
      <c r="S14" s="769">
        <f t="shared" si="0"/>
        <v>100</v>
      </c>
      <c r="T14" s="768" t="s">
        <v>21</v>
      </c>
      <c r="U14" s="769">
        <f t="shared" si="1"/>
        <v>100</v>
      </c>
      <c r="V14" s="768" t="s">
        <v>21</v>
      </c>
      <c r="W14" s="769">
        <f t="shared" si="2"/>
        <v>100</v>
      </c>
      <c r="X14" s="770"/>
      <c r="Y14" s="3115"/>
      <c r="Z14" s="55">
        <f t="shared" si="7"/>
        <v>111</v>
      </c>
      <c r="AA14" s="771">
        <f t="shared" si="3"/>
        <v>1</v>
      </c>
      <c r="AB14" s="771">
        <f t="shared" si="4"/>
        <v>1</v>
      </c>
      <c r="AC14" s="771">
        <f t="shared" si="5"/>
        <v>1</v>
      </c>
    </row>
    <row r="15" spans="1:29" ht="99.75">
      <c r="A15" s="440" t="s">
        <v>2554</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72" t="s">
        <v>2555</v>
      </c>
      <c r="Q15" s="1811" t="str">
        <f t="shared" si="6"/>
        <v>居住社区成熟度</v>
      </c>
      <c r="R15" s="772" t="s">
        <v>21</v>
      </c>
      <c r="S15" s="773">
        <f t="shared" si="0"/>
        <v>100</v>
      </c>
      <c r="T15" s="772" t="s">
        <v>21</v>
      </c>
      <c r="U15" s="773">
        <f t="shared" si="1"/>
        <v>100</v>
      </c>
      <c r="V15" s="772" t="s">
        <v>21</v>
      </c>
      <c r="W15" s="773">
        <f t="shared" si="2"/>
        <v>100</v>
      </c>
      <c r="X15" s="1814"/>
      <c r="Y15" s="3274" t="s">
        <v>2555</v>
      </c>
      <c r="Z15" s="1815" t="str">
        <f t="shared" si="7"/>
        <v>居住社区成熟度</v>
      </c>
      <c r="AA15" s="1812">
        <f t="shared" si="3"/>
        <v>1</v>
      </c>
      <c r="AB15" s="1812">
        <f t="shared" si="4"/>
        <v>1</v>
      </c>
      <c r="AC15" s="1812">
        <f t="shared" si="5"/>
        <v>1</v>
      </c>
    </row>
    <row r="16" spans="1:29" ht="15">
      <c r="A16" s="428"/>
      <c r="B16" s="446"/>
      <c r="C16" s="447"/>
      <c r="D16" s="448"/>
      <c r="E16" s="2607"/>
      <c r="F16" s="448"/>
      <c r="G16" s="2608"/>
      <c r="H16" s="450"/>
      <c r="I16" s="2608"/>
      <c r="J16" s="448"/>
      <c r="K16" s="2609"/>
      <c r="L16" s="1141"/>
      <c r="M16" s="1132"/>
      <c r="N16" s="1132"/>
      <c r="O16" s="1132"/>
      <c r="P16" s="3273"/>
      <c r="Q16" s="1811"/>
      <c r="R16" s="772"/>
      <c r="S16" s="773"/>
      <c r="T16" s="772"/>
      <c r="U16" s="773"/>
      <c r="V16" s="772"/>
      <c r="W16" s="773"/>
      <c r="X16" s="1814"/>
      <c r="Y16" s="3275"/>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73"/>
      <c r="Q17" s="1811" t="str">
        <f>B17</f>
        <v>交通便捷度</v>
      </c>
      <c r="R17" s="772" t="s">
        <v>21</v>
      </c>
      <c r="S17" s="773">
        <f>F17</f>
        <v>100</v>
      </c>
      <c r="T17" s="772" t="s">
        <v>21</v>
      </c>
      <c r="U17" s="773">
        <f>H17</f>
        <v>100</v>
      </c>
      <c r="V17" s="772" t="s">
        <v>21</v>
      </c>
      <c r="W17" s="773">
        <f>J17</f>
        <v>100</v>
      </c>
      <c r="X17" s="1814"/>
      <c r="Y17" s="3275"/>
      <c r="Z17" s="1815" t="str">
        <f>Q17</f>
        <v>交通便捷度</v>
      </c>
      <c r="AA17" s="1812">
        <f t="shared" si="3"/>
        <v>1</v>
      </c>
      <c r="AB17" s="1812">
        <f t="shared" si="4"/>
        <v>1</v>
      </c>
      <c r="AC17" s="1812">
        <f t="shared" si="5"/>
        <v>1</v>
      </c>
    </row>
    <row r="18" spans="1:29" ht="15">
      <c r="A18" s="428"/>
      <c r="B18" s="456"/>
      <c r="C18" s="2611"/>
      <c r="D18" s="450"/>
      <c r="E18" s="2612"/>
      <c r="F18" s="450"/>
      <c r="G18" s="2613"/>
      <c r="H18" s="448"/>
      <c r="I18" s="2613"/>
      <c r="J18" s="448"/>
      <c r="K18" s="2609"/>
      <c r="L18" s="1141"/>
      <c r="M18" s="1132"/>
      <c r="N18" s="1132"/>
      <c r="O18" s="1132"/>
      <c r="P18" s="3273"/>
      <c r="Q18" s="1811"/>
      <c r="R18" s="772"/>
      <c r="S18" s="773"/>
      <c r="T18" s="772"/>
      <c r="U18" s="773"/>
      <c r="V18" s="772"/>
      <c r="W18" s="773"/>
      <c r="X18" s="1814"/>
      <c r="Y18" s="3275"/>
      <c r="Z18" s="1815"/>
      <c r="AA18" s="1812">
        <v>1</v>
      </c>
      <c r="AB18" s="1812">
        <v>1</v>
      </c>
      <c r="AC18" s="1812">
        <v>1</v>
      </c>
    </row>
    <row r="19" spans="1:29" ht="85.5">
      <c r="A19" s="428"/>
      <c r="B19" s="451" t="s">
        <v>2094</v>
      </c>
      <c r="C19" s="2610" t="str">
        <f>估价对象房地状况!C7</f>
        <v>周边有汉华购物中心、晓慧便民超市、北京中山医院等，公共服务配套设施齐备度较好。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73"/>
      <c r="Q19" s="1811" t="str">
        <f>B19</f>
        <v>公共配套设施</v>
      </c>
      <c r="R19" s="772" t="s">
        <v>21</v>
      </c>
      <c r="S19" s="773">
        <f>F19</f>
        <v>100</v>
      </c>
      <c r="T19" s="772" t="s">
        <v>21</v>
      </c>
      <c r="U19" s="773">
        <f>H19</f>
        <v>100</v>
      </c>
      <c r="V19" s="772" t="s">
        <v>21</v>
      </c>
      <c r="W19" s="773">
        <f>J19</f>
        <v>100</v>
      </c>
      <c r="X19" s="1814"/>
      <c r="Y19" s="3275"/>
      <c r="Z19" s="1815" t="str">
        <f>Q19</f>
        <v>公共配套设施</v>
      </c>
      <c r="AA19" s="1812">
        <f t="shared" si="3"/>
        <v>1</v>
      </c>
      <c r="AB19" s="1812">
        <f t="shared" si="4"/>
        <v>1</v>
      </c>
      <c r="AC19" s="1812">
        <f t="shared" si="5"/>
        <v>1</v>
      </c>
    </row>
    <row r="20" spans="1:29" ht="15">
      <c r="A20" s="428"/>
      <c r="B20" s="456"/>
      <c r="C20" s="447"/>
      <c r="D20" s="448"/>
      <c r="E20" s="2607"/>
      <c r="F20" s="448"/>
      <c r="G20" s="2608"/>
      <c r="H20" s="448"/>
      <c r="I20" s="2608"/>
      <c r="J20" s="448"/>
      <c r="K20" s="2609"/>
      <c r="L20" s="1141"/>
      <c r="M20" s="1132"/>
      <c r="N20" s="1132"/>
      <c r="O20" s="1132"/>
      <c r="P20" s="3273"/>
      <c r="Q20" s="1811"/>
      <c r="R20" s="772"/>
      <c r="S20" s="773"/>
      <c r="T20" s="772"/>
      <c r="U20" s="773"/>
      <c r="V20" s="772"/>
      <c r="W20" s="773"/>
      <c r="X20" s="1814"/>
      <c r="Y20" s="3275"/>
      <c r="Z20" s="1815"/>
      <c r="AA20" s="1812">
        <v>1</v>
      </c>
      <c r="AB20" s="1812">
        <v>1</v>
      </c>
      <c r="AC20" s="1812">
        <v>1</v>
      </c>
    </row>
    <row r="21" spans="1:29" ht="42.75">
      <c r="A21" s="428"/>
      <c r="B21" s="1385" t="s">
        <v>2097</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73"/>
      <c r="Q21" s="1811" t="str">
        <f>B21</f>
        <v>基础设施水平</v>
      </c>
      <c r="R21" s="772" t="s">
        <v>17</v>
      </c>
      <c r="S21" s="773">
        <f>F21</f>
        <v>100</v>
      </c>
      <c r="T21" s="772" t="s">
        <v>17</v>
      </c>
      <c r="U21" s="773">
        <f>H21</f>
        <v>100</v>
      </c>
      <c r="V21" s="772" t="s">
        <v>17</v>
      </c>
      <c r="W21" s="773">
        <f>J21</f>
        <v>100</v>
      </c>
      <c r="X21" s="1814"/>
      <c r="Y21" s="3275"/>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8"/>
      <c r="G22" s="2614"/>
      <c r="H22" s="448"/>
      <c r="I22" s="447"/>
      <c r="J22" s="448"/>
      <c r="K22" s="2615"/>
      <c r="L22" s="1141"/>
      <c r="M22" s="1132"/>
      <c r="N22" s="1132"/>
      <c r="O22" s="1132"/>
      <c r="P22" s="3273"/>
      <c r="Q22" s="1811"/>
      <c r="R22" s="772"/>
      <c r="S22" s="773"/>
      <c r="T22" s="772"/>
      <c r="U22" s="773"/>
      <c r="V22" s="772"/>
      <c r="W22" s="773"/>
      <c r="X22" s="1814"/>
      <c r="Y22" s="3275"/>
      <c r="Z22" s="1815"/>
      <c r="AA22" s="1812">
        <v>1</v>
      </c>
      <c r="AB22" s="1812">
        <v>1</v>
      </c>
      <c r="AC22" s="1812">
        <v>1</v>
      </c>
    </row>
    <row r="23" spans="1:29" ht="85.5">
      <c r="A23" s="428"/>
      <c r="B23" s="451" t="s">
        <v>2101</v>
      </c>
      <c r="C23" s="2610" t="str">
        <f>估价对象房地状况!C9</f>
        <v>周边2公里内有龙潭湖、北京工业大学等，周边无大型污染源，综合考虑自然及人文环境较好。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73"/>
      <c r="Q23" s="1811" t="str">
        <f>B23</f>
        <v>自然及人文环境</v>
      </c>
      <c r="R23" s="772" t="s">
        <v>21</v>
      </c>
      <c r="S23" s="773">
        <f>F23</f>
        <v>100</v>
      </c>
      <c r="T23" s="772" t="s">
        <v>21</v>
      </c>
      <c r="U23" s="773">
        <f>H23</f>
        <v>100</v>
      </c>
      <c r="V23" s="772" t="s">
        <v>21</v>
      </c>
      <c r="W23" s="773">
        <f>J23</f>
        <v>100</v>
      </c>
      <c r="X23" s="1814"/>
      <c r="Y23" s="3275"/>
      <c r="Z23" s="1815" t="str">
        <f>Q23</f>
        <v>自然及人文环境</v>
      </c>
      <c r="AA23" s="1812">
        <f>D23/F23</f>
        <v>1</v>
      </c>
      <c r="AB23" s="1812">
        <f>D23/H23</f>
        <v>1</v>
      </c>
      <c r="AC23" s="1812">
        <f>D23/J23</f>
        <v>1</v>
      </c>
    </row>
    <row r="24" spans="1:29" ht="15">
      <c r="A24" s="428"/>
      <c r="B24" s="456"/>
      <c r="C24" s="447"/>
      <c r="D24" s="448"/>
      <c r="E24" s="2607"/>
      <c r="F24" s="448"/>
      <c r="G24" s="2608"/>
      <c r="H24" s="448"/>
      <c r="I24" s="2608"/>
      <c r="J24" s="448"/>
      <c r="K24" s="2609"/>
      <c r="L24" s="1141"/>
      <c r="M24" s="1132"/>
      <c r="N24" s="1132"/>
      <c r="O24" s="1132"/>
      <c r="P24" s="3273"/>
      <c r="Q24" s="1811"/>
      <c r="R24" s="772"/>
      <c r="S24" s="773"/>
      <c r="T24" s="772"/>
      <c r="U24" s="773"/>
      <c r="V24" s="772"/>
      <c r="W24" s="773"/>
      <c r="X24" s="1814"/>
      <c r="Y24" s="3275"/>
      <c r="Z24" s="1815"/>
      <c r="AA24" s="1812">
        <v>1</v>
      </c>
      <c r="AB24" s="1812">
        <v>1</v>
      </c>
      <c r="AC24" s="1812">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73"/>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75"/>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73"/>
      <c r="Q26" s="1811" t="str">
        <f t="shared" si="11"/>
        <v>朝向</v>
      </c>
      <c r="R26" s="772" t="s">
        <v>21</v>
      </c>
      <c r="S26" s="773">
        <f t="shared" si="12"/>
        <v>100</v>
      </c>
      <c r="T26" s="772" t="s">
        <v>21</v>
      </c>
      <c r="U26" s="773">
        <f t="shared" si="13"/>
        <v>100</v>
      </c>
      <c r="V26" s="772" t="s">
        <v>21</v>
      </c>
      <c r="W26" s="773">
        <f t="shared" si="14"/>
        <v>100</v>
      </c>
      <c r="X26" s="1814"/>
      <c r="Y26" s="3275"/>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73"/>
      <c r="Q27" s="1796">
        <f t="shared" si="11"/>
        <v>111</v>
      </c>
      <c r="R27" s="768" t="s">
        <v>21</v>
      </c>
      <c r="S27" s="769">
        <f t="shared" si="12"/>
        <v>100</v>
      </c>
      <c r="T27" s="768" t="s">
        <v>21</v>
      </c>
      <c r="U27" s="769">
        <f t="shared" si="13"/>
        <v>100</v>
      </c>
      <c r="V27" s="768" t="s">
        <v>21</v>
      </c>
      <c r="W27" s="769">
        <f t="shared" si="14"/>
        <v>100</v>
      </c>
      <c r="X27" s="770"/>
      <c r="Y27" s="3275"/>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73"/>
      <c r="Q28" s="1811">
        <f t="shared" si="11"/>
        <v>111</v>
      </c>
      <c r="R28" s="772" t="s">
        <v>21</v>
      </c>
      <c r="S28" s="773">
        <f t="shared" si="12"/>
        <v>100</v>
      </c>
      <c r="T28" s="772" t="s">
        <v>21</v>
      </c>
      <c r="U28" s="773">
        <f t="shared" si="13"/>
        <v>100</v>
      </c>
      <c r="V28" s="772" t="s">
        <v>21</v>
      </c>
      <c r="W28" s="773">
        <f t="shared" si="14"/>
        <v>100</v>
      </c>
      <c r="X28" s="1814"/>
      <c r="Y28" s="3275"/>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73"/>
      <c r="Q29" s="1811">
        <f t="shared" si="11"/>
        <v>111</v>
      </c>
      <c r="R29" s="772" t="s">
        <v>21</v>
      </c>
      <c r="S29" s="773">
        <f t="shared" si="12"/>
        <v>100</v>
      </c>
      <c r="T29" s="772" t="s">
        <v>21</v>
      </c>
      <c r="U29" s="773">
        <f t="shared" si="13"/>
        <v>100</v>
      </c>
      <c r="V29" s="772" t="s">
        <v>21</v>
      </c>
      <c r="W29" s="773">
        <f t="shared" si="14"/>
        <v>100</v>
      </c>
      <c r="X29" s="1814"/>
      <c r="Y29" s="3275"/>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73"/>
      <c r="Q30" s="1811">
        <f t="shared" si="11"/>
        <v>111</v>
      </c>
      <c r="R30" s="772" t="s">
        <v>21</v>
      </c>
      <c r="S30" s="773">
        <f t="shared" si="12"/>
        <v>100</v>
      </c>
      <c r="T30" s="772" t="s">
        <v>21</v>
      </c>
      <c r="U30" s="773">
        <f t="shared" si="13"/>
        <v>100</v>
      </c>
      <c r="V30" s="772" t="s">
        <v>21</v>
      </c>
      <c r="W30" s="773">
        <f t="shared" si="14"/>
        <v>100</v>
      </c>
      <c r="X30" s="1814"/>
      <c r="Y30" s="3275"/>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73"/>
      <c r="Q31" s="1811">
        <f t="shared" si="11"/>
        <v>111</v>
      </c>
      <c r="R31" s="772" t="s">
        <v>21</v>
      </c>
      <c r="S31" s="773">
        <f t="shared" si="12"/>
        <v>100</v>
      </c>
      <c r="T31" s="772" t="s">
        <v>21</v>
      </c>
      <c r="U31" s="773">
        <f t="shared" si="13"/>
        <v>100</v>
      </c>
      <c r="V31" s="772" t="s">
        <v>21</v>
      </c>
      <c r="W31" s="773">
        <f t="shared" si="14"/>
        <v>100</v>
      </c>
      <c r="X31" s="1814"/>
      <c r="Y31" s="3275"/>
      <c r="Z31" s="1815">
        <f t="shared" si="18"/>
        <v>111</v>
      </c>
      <c r="AA31" s="1812">
        <f t="shared" si="15"/>
        <v>1</v>
      </c>
      <c r="AB31" s="1812">
        <f t="shared" si="16"/>
        <v>1</v>
      </c>
      <c r="AC31" s="1812">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76" t="s">
        <v>2560</v>
      </c>
      <c r="Q32" s="1811" t="str">
        <f t="shared" si="11"/>
        <v>建筑类型</v>
      </c>
      <c r="R32" s="772" t="s">
        <v>21</v>
      </c>
      <c r="S32" s="773">
        <f t="shared" si="12"/>
        <v>100</v>
      </c>
      <c r="T32" s="772" t="s">
        <v>21</v>
      </c>
      <c r="U32" s="773">
        <f t="shared" si="13"/>
        <v>100</v>
      </c>
      <c r="V32" s="772" t="s">
        <v>21</v>
      </c>
      <c r="W32" s="773">
        <f t="shared" si="14"/>
        <v>100</v>
      </c>
      <c r="X32" s="1814"/>
      <c r="Y32" s="3279"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77"/>
      <c r="Q33" s="774" t="str">
        <f t="shared" si="11"/>
        <v>项目建筑规模</v>
      </c>
      <c r="R33" s="775" t="s">
        <v>21</v>
      </c>
      <c r="S33" s="776" t="e">
        <f t="shared" si="12"/>
        <v>#N/A</v>
      </c>
      <c r="T33" s="775" t="s">
        <v>21</v>
      </c>
      <c r="U33" s="776" t="e">
        <f t="shared" si="13"/>
        <v>#N/A</v>
      </c>
      <c r="V33" s="775" t="s">
        <v>21</v>
      </c>
      <c r="W33" s="776" t="e">
        <f t="shared" si="14"/>
        <v>#N/A</v>
      </c>
      <c r="X33" s="777"/>
      <c r="Y33" s="3279"/>
      <c r="Z33" s="778" t="str">
        <f t="shared" si="18"/>
        <v>项目建筑规模</v>
      </c>
      <c r="AA33" s="1812" t="e">
        <f t="shared" si="15"/>
        <v>#N/A</v>
      </c>
      <c r="AB33" s="1812" t="e">
        <f t="shared" si="16"/>
        <v>#N/A</v>
      </c>
      <c r="AC33" s="1812"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77"/>
      <c r="Q34" s="1811" t="str">
        <f t="shared" si="11"/>
        <v>建筑结构</v>
      </c>
      <c r="R34" s="772" t="s">
        <v>21</v>
      </c>
      <c r="S34" s="773">
        <f t="shared" si="12"/>
        <v>100</v>
      </c>
      <c r="T34" s="772" t="s">
        <v>21</v>
      </c>
      <c r="U34" s="773">
        <f t="shared" si="13"/>
        <v>100</v>
      </c>
      <c r="V34" s="772" t="s">
        <v>21</v>
      </c>
      <c r="W34" s="773">
        <f t="shared" si="14"/>
        <v>100</v>
      </c>
      <c r="X34" s="1814"/>
      <c r="Y34" s="3279"/>
      <c r="Z34" s="1815" t="str">
        <f t="shared" si="18"/>
        <v>建筑结构</v>
      </c>
      <c r="AA34" s="1812">
        <f t="shared" si="15"/>
        <v>1</v>
      </c>
      <c r="AB34" s="1812">
        <f t="shared" si="16"/>
        <v>1</v>
      </c>
      <c r="AC34" s="1812">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77"/>
      <c r="Q35" s="1811" t="str">
        <f t="shared" si="11"/>
        <v>建筑品质</v>
      </c>
      <c r="R35" s="772" t="s">
        <v>21</v>
      </c>
      <c r="S35" s="773">
        <f t="shared" si="12"/>
        <v>100</v>
      </c>
      <c r="T35" s="772" t="s">
        <v>21</v>
      </c>
      <c r="U35" s="773">
        <f t="shared" si="13"/>
        <v>100</v>
      </c>
      <c r="V35" s="772" t="s">
        <v>21</v>
      </c>
      <c r="W35" s="773">
        <f t="shared" si="14"/>
        <v>100</v>
      </c>
      <c r="X35" s="1814"/>
      <c r="Y35" s="3279"/>
      <c r="Z35" s="1815" t="str">
        <f t="shared" si="18"/>
        <v>建筑品质</v>
      </c>
      <c r="AA35" s="1812">
        <f t="shared" si="15"/>
        <v>1</v>
      </c>
      <c r="AB35" s="1812">
        <f t="shared" si="16"/>
        <v>1</v>
      </c>
      <c r="AC35" s="1812">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77"/>
      <c r="Q36" s="1811" t="str">
        <f t="shared" si="11"/>
        <v>公共部分装修</v>
      </c>
      <c r="R36" s="772" t="s">
        <v>21</v>
      </c>
      <c r="S36" s="773">
        <f t="shared" si="12"/>
        <v>100</v>
      </c>
      <c r="T36" s="772" t="s">
        <v>21</v>
      </c>
      <c r="U36" s="773">
        <f t="shared" si="13"/>
        <v>100</v>
      </c>
      <c r="V36" s="772" t="s">
        <v>21</v>
      </c>
      <c r="W36" s="773">
        <f t="shared" si="14"/>
        <v>100</v>
      </c>
      <c r="X36" s="1814"/>
      <c r="Y36" s="3279"/>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77"/>
      <c r="Q37" s="1796" t="str">
        <f t="shared" si="11"/>
        <v>成新度</v>
      </c>
      <c r="R37" s="768" t="s">
        <v>21</v>
      </c>
      <c r="S37" s="769" t="e">
        <f t="shared" si="12"/>
        <v>#N/A</v>
      </c>
      <c r="T37" s="768" t="s">
        <v>21</v>
      </c>
      <c r="U37" s="769" t="e">
        <f t="shared" si="13"/>
        <v>#N/A</v>
      </c>
      <c r="V37" s="768" t="s">
        <v>21</v>
      </c>
      <c r="W37" s="769" t="e">
        <f t="shared" si="14"/>
        <v>#N/A</v>
      </c>
      <c r="X37" s="770"/>
      <c r="Y37" s="3279"/>
      <c r="Z37" s="55" t="str">
        <f t="shared" si="18"/>
        <v>成新度</v>
      </c>
      <c r="AA37" s="771" t="e">
        <f t="shared" si="15"/>
        <v>#N/A</v>
      </c>
      <c r="AB37" s="771" t="e">
        <f t="shared" si="16"/>
        <v>#N/A</v>
      </c>
      <c r="AC37" s="771"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77" t="s">
        <v>2560</v>
      </c>
      <c r="Q38" s="1811" t="str">
        <f t="shared" si="11"/>
        <v>物业管理</v>
      </c>
      <c r="R38" s="772" t="s">
        <v>21</v>
      </c>
      <c r="S38" s="773">
        <f t="shared" si="12"/>
        <v>100</v>
      </c>
      <c r="T38" s="772" t="s">
        <v>21</v>
      </c>
      <c r="U38" s="773">
        <f t="shared" si="13"/>
        <v>100</v>
      </c>
      <c r="V38" s="772" t="s">
        <v>21</v>
      </c>
      <c r="W38" s="773">
        <f t="shared" si="14"/>
        <v>100</v>
      </c>
      <c r="X38" s="1814"/>
      <c r="Y38" s="3279" t="s">
        <v>2560</v>
      </c>
      <c r="Z38" s="1815" t="str">
        <f t="shared" si="18"/>
        <v>物业管理</v>
      </c>
      <c r="AA38" s="1812">
        <f t="shared" si="15"/>
        <v>1</v>
      </c>
      <c r="AB38" s="1812">
        <f t="shared" si="16"/>
        <v>1</v>
      </c>
      <c r="AC38" s="1812">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77"/>
      <c r="Q39" s="1811" t="str">
        <f t="shared" si="11"/>
        <v>市政基础设施</v>
      </c>
      <c r="R39" s="772" t="s">
        <v>21</v>
      </c>
      <c r="S39" s="773">
        <f t="shared" si="12"/>
        <v>100</v>
      </c>
      <c r="T39" s="772" t="s">
        <v>21</v>
      </c>
      <c r="U39" s="773">
        <f t="shared" si="13"/>
        <v>100</v>
      </c>
      <c r="V39" s="772" t="s">
        <v>21</v>
      </c>
      <c r="W39" s="773">
        <f t="shared" si="14"/>
        <v>100</v>
      </c>
      <c r="X39" s="1814"/>
      <c r="Y39" s="3279"/>
      <c r="Z39" s="1815" t="str">
        <f t="shared" si="18"/>
        <v>市政基础设施</v>
      </c>
      <c r="AA39" s="1812">
        <f t="shared" si="15"/>
        <v>1</v>
      </c>
      <c r="AB39" s="1812">
        <f t="shared" si="16"/>
        <v>1</v>
      </c>
      <c r="AC39" s="1812">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77"/>
      <c r="Q40" s="1811" t="str">
        <f t="shared" si="11"/>
        <v>房型</v>
      </c>
      <c r="R40" s="772" t="s">
        <v>21</v>
      </c>
      <c r="S40" s="773">
        <f t="shared" si="12"/>
        <v>100</v>
      </c>
      <c r="T40" s="772" t="s">
        <v>21</v>
      </c>
      <c r="U40" s="773">
        <f t="shared" si="13"/>
        <v>100</v>
      </c>
      <c r="V40" s="772" t="s">
        <v>21</v>
      </c>
      <c r="W40" s="773">
        <f t="shared" si="14"/>
        <v>100</v>
      </c>
      <c r="X40" s="1814"/>
      <c r="Y40" s="3279"/>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77"/>
      <c r="Q41" s="774" t="str">
        <f t="shared" si="11"/>
        <v>单套/主力户型建筑面积</v>
      </c>
      <c r="R41" s="775" t="s">
        <v>21</v>
      </c>
      <c r="S41" s="776">
        <f t="shared" si="12"/>
        <v>100</v>
      </c>
      <c r="T41" s="775" t="s">
        <v>21</v>
      </c>
      <c r="U41" s="776">
        <f t="shared" si="13"/>
        <v>100</v>
      </c>
      <c r="V41" s="775" t="s">
        <v>21</v>
      </c>
      <c r="W41" s="776">
        <f t="shared" si="14"/>
        <v>100</v>
      </c>
      <c r="X41" s="777"/>
      <c r="Y41" s="3279"/>
      <c r="Z41" s="778" t="str">
        <f t="shared" si="18"/>
        <v>单套/主力户型建筑面积</v>
      </c>
      <c r="AA41" s="1812">
        <f t="shared" si="15"/>
        <v>1</v>
      </c>
      <c r="AB41" s="1812">
        <f t="shared" si="16"/>
        <v>1</v>
      </c>
      <c r="AC41" s="1812">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77"/>
      <c r="Q42" s="1811" t="str">
        <f t="shared" si="11"/>
        <v>内部装修</v>
      </c>
      <c r="R42" s="772" t="s">
        <v>21</v>
      </c>
      <c r="S42" s="773">
        <f t="shared" si="12"/>
        <v>100</v>
      </c>
      <c r="T42" s="772" t="s">
        <v>21</v>
      </c>
      <c r="U42" s="773">
        <f t="shared" si="13"/>
        <v>100</v>
      </c>
      <c r="V42" s="772" t="s">
        <v>21</v>
      </c>
      <c r="W42" s="773">
        <f t="shared" si="14"/>
        <v>100</v>
      </c>
      <c r="X42" s="1814"/>
      <c r="Y42" s="3279"/>
      <c r="Z42" s="1815" t="str">
        <f t="shared" si="18"/>
        <v>内部装修</v>
      </c>
      <c r="AA42" s="1812">
        <f t="shared" si="15"/>
        <v>1</v>
      </c>
      <c r="AB42" s="1812">
        <f t="shared" si="16"/>
        <v>1</v>
      </c>
      <c r="AC42" s="1812">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77"/>
      <c r="Q43" s="1811" t="str">
        <f t="shared" si="11"/>
        <v>内部装修维护情况</v>
      </c>
      <c r="R43" s="772" t="s">
        <v>21</v>
      </c>
      <c r="S43" s="773">
        <f t="shared" si="12"/>
        <v>100</v>
      </c>
      <c r="T43" s="772" t="s">
        <v>21</v>
      </c>
      <c r="U43" s="773">
        <f t="shared" si="13"/>
        <v>100</v>
      </c>
      <c r="V43" s="772" t="s">
        <v>21</v>
      </c>
      <c r="W43" s="773">
        <f t="shared" si="14"/>
        <v>100</v>
      </c>
      <c r="X43" s="1814"/>
      <c r="Y43" s="3279"/>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77"/>
      <c r="Q44" s="1796">
        <f t="shared" si="11"/>
        <v>111</v>
      </c>
      <c r="R44" s="768" t="s">
        <v>21</v>
      </c>
      <c r="S44" s="769">
        <f t="shared" si="12"/>
        <v>100</v>
      </c>
      <c r="T44" s="768" t="s">
        <v>21</v>
      </c>
      <c r="U44" s="769">
        <f t="shared" si="13"/>
        <v>100</v>
      </c>
      <c r="V44" s="768" t="s">
        <v>21</v>
      </c>
      <c r="W44" s="769">
        <f t="shared" si="14"/>
        <v>100</v>
      </c>
      <c r="X44" s="770"/>
      <c r="Y44" s="3279"/>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77"/>
      <c r="Q45" s="1811">
        <f t="shared" si="11"/>
        <v>111</v>
      </c>
      <c r="R45" s="772" t="s">
        <v>21</v>
      </c>
      <c r="S45" s="773">
        <f t="shared" si="12"/>
        <v>100</v>
      </c>
      <c r="T45" s="772" t="s">
        <v>21</v>
      </c>
      <c r="U45" s="773">
        <f t="shared" si="13"/>
        <v>100</v>
      </c>
      <c r="V45" s="772" t="s">
        <v>21</v>
      </c>
      <c r="W45" s="773">
        <f t="shared" si="14"/>
        <v>100</v>
      </c>
      <c r="X45" s="1814"/>
      <c r="Y45" s="3279"/>
      <c r="Z45" s="1815">
        <f t="shared" si="18"/>
        <v>111</v>
      </c>
      <c r="AA45" s="1812">
        <f t="shared" si="15"/>
        <v>1</v>
      </c>
      <c r="AB45" s="1812">
        <f t="shared" si="16"/>
        <v>1</v>
      </c>
      <c r="AC45" s="181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78"/>
      <c r="Q46" s="1811">
        <f t="shared" si="11"/>
        <v>111</v>
      </c>
      <c r="R46" s="772" t="s">
        <v>20</v>
      </c>
      <c r="S46" s="773">
        <f t="shared" si="12"/>
        <v>100</v>
      </c>
      <c r="T46" s="772" t="s">
        <v>20</v>
      </c>
      <c r="U46" s="773">
        <f t="shared" si="13"/>
        <v>100</v>
      </c>
      <c r="V46" s="772" t="s">
        <v>20</v>
      </c>
      <c r="W46" s="773">
        <f t="shared" si="14"/>
        <v>100</v>
      </c>
      <c r="X46" s="1814"/>
      <c r="Y46" s="3280"/>
      <c r="Z46" s="1815">
        <f t="shared" si="18"/>
        <v>111</v>
      </c>
      <c r="AA46" s="1812">
        <f t="shared" si="15"/>
        <v>1</v>
      </c>
      <c r="AB46" s="1812">
        <f t="shared" si="16"/>
        <v>1</v>
      </c>
      <c r="AC46" s="1812">
        <f t="shared" si="17"/>
        <v>1</v>
      </c>
    </row>
    <row r="47" spans="1:29" ht="15">
      <c r="A47" s="479" t="s">
        <v>2572</v>
      </c>
      <c r="B47" s="480"/>
      <c r="C47" s="1408" t="s">
        <v>19</v>
      </c>
      <c r="D47" s="1409"/>
      <c r="E47" s="1410"/>
      <c r="F47" s="1411"/>
      <c r="G47" s="1412"/>
      <c r="H47" s="1413"/>
      <c r="I47" s="1410"/>
      <c r="J47" s="1413"/>
      <c r="K47" s="2624"/>
      <c r="L47" s="1144"/>
      <c r="M47" s="1145"/>
      <c r="N47" s="1132"/>
      <c r="O47" s="1145"/>
      <c r="P47" s="3281" t="str">
        <f>A47</f>
        <v>成交单价（元/平方米）</v>
      </c>
      <c r="Q47" s="3281"/>
      <c r="R47" s="3282">
        <f>E47</f>
        <v>0</v>
      </c>
      <c r="S47" s="3282"/>
      <c r="T47" s="3282">
        <f>G47</f>
        <v>0</v>
      </c>
      <c r="U47" s="3282"/>
      <c r="V47" s="3282">
        <f>I47</f>
        <v>0</v>
      </c>
      <c r="W47" s="3282"/>
      <c r="X47" s="757"/>
      <c r="Y47" s="779"/>
      <c r="Z47" s="757"/>
      <c r="AA47" s="757"/>
      <c r="AB47" s="757"/>
      <c r="AC47" s="757"/>
    </row>
    <row r="48" spans="1:29" ht="15.75" thickBot="1">
      <c r="A48" s="486" t="s">
        <v>2573</v>
      </c>
      <c r="B48" s="487"/>
      <c r="C48" s="1414" t="e">
        <f>R49</f>
        <v>#DIV/0!</v>
      </c>
      <c r="D48" s="1415"/>
      <c r="E48" s="1416" t="e">
        <f>R48</f>
        <v>#DIV/0!</v>
      </c>
      <c r="F48" s="1416"/>
      <c r="G48" s="1414" t="e">
        <f>T48</f>
        <v>#DIV/0!</v>
      </c>
      <c r="H48" s="1415"/>
      <c r="I48" s="1416" t="e">
        <f>V48</f>
        <v>#DIV/0!</v>
      </c>
      <c r="J48" s="1415"/>
      <c r="K48" s="2625"/>
      <c r="L48" s="1144"/>
      <c r="M48" s="1145"/>
      <c r="N48" s="1145"/>
      <c r="O48" s="1145"/>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7"/>
      <c r="Y48" s="757"/>
      <c r="Z48" s="757"/>
      <c r="AA48" s="757"/>
      <c r="AB48" s="757"/>
      <c r="AC48" s="757"/>
    </row>
    <row r="49" spans="1:29" ht="15.75" thickBot="1">
      <c r="A49" s="492" t="s">
        <v>2574</v>
      </c>
      <c r="B49" s="493"/>
      <c r="C49" s="1417" t="e">
        <f>R49</f>
        <v>#DIV/0!</v>
      </c>
      <c r="D49" s="1418"/>
      <c r="E49" s="1418"/>
      <c r="F49" s="1418"/>
      <c r="G49" s="1418"/>
      <c r="H49" s="1418"/>
      <c r="I49" s="1418"/>
      <c r="J49" s="1418"/>
      <c r="K49" s="2626"/>
      <c r="L49" s="1144"/>
      <c r="M49" s="1145"/>
      <c r="N49" s="1145"/>
      <c r="O49" s="1145"/>
      <c r="P49" s="3283" t="str">
        <f>A49</f>
        <v>估价对象XX用房的比较价值（楼面单价，元/平方米）</v>
      </c>
      <c r="Q49" s="3284"/>
      <c r="R49" s="3285" t="e">
        <f>IF(F1="售价",ROUND(AVERAGE(R48:V48),0),ROUND(AVERAGE(R48:V48),1))</f>
        <v>#DIV/0!</v>
      </c>
      <c r="S49" s="3285"/>
      <c r="T49" s="3285"/>
      <c r="U49" s="3285"/>
      <c r="V49" s="3285"/>
      <c r="W49" s="328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9"/>
      <c r="Q57" s="504"/>
    </row>
    <row r="58" spans="1:29" s="508" customFormat="1" ht="15">
      <c r="A58" s="505" t="s">
        <v>2579</v>
      </c>
      <c r="B58" s="506"/>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2097</v>
      </c>
      <c r="C82" s="539" t="s">
        <v>2599</v>
      </c>
      <c r="D82" s="539" t="s">
        <v>2600</v>
      </c>
      <c r="E82" s="539" t="s">
        <v>2601</v>
      </c>
      <c r="F82" s="539" t="s">
        <v>2602</v>
      </c>
      <c r="G82" s="539" t="s">
        <v>2603</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2605</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2606</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2558</v>
      </c>
      <c r="B100" s="528" t="s">
        <v>2607</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2609</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2610</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2611</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2612</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2613</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2614</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2569</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2615</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5">
        <v>6</v>
      </c>
      <c r="C139" s="1086">
        <v>96</v>
      </c>
      <c r="D139" s="2651" t="s">
        <v>2626</v>
      </c>
      <c r="E139" s="1087">
        <v>100</v>
      </c>
      <c r="F139" s="1088">
        <v>102.5</v>
      </c>
      <c r="G139" s="2651" t="s">
        <v>2626</v>
      </c>
      <c r="H139" s="1089">
        <v>105</v>
      </c>
      <c r="I139" s="2652" t="s">
        <v>2627</v>
      </c>
      <c r="J139" s="1086">
        <v>20</v>
      </c>
      <c r="K139" s="1090">
        <f>C145/(J139-2)</f>
        <v>4.0555555555555553E-3</v>
      </c>
    </row>
    <row r="140" spans="1:17" ht="15">
      <c r="B140" s="1091">
        <v>5</v>
      </c>
      <c r="C140" s="1092">
        <v>100</v>
      </c>
      <c r="D140" s="1092"/>
      <c r="E140" s="1093"/>
      <c r="F140" s="1094">
        <v>102</v>
      </c>
      <c r="G140" s="1092"/>
      <c r="H140" s="1095"/>
      <c r="I140" s="2653" t="s">
        <v>2628</v>
      </c>
      <c r="J140" s="315">
        <f>ROUNDUP((J139-1)/2,0)</f>
        <v>10</v>
      </c>
      <c r="K140" s="1096">
        <v>100</v>
      </c>
    </row>
    <row r="141" spans="1:17" ht="15">
      <c r="B141" s="1091">
        <v>4</v>
      </c>
      <c r="C141" s="1092">
        <v>102</v>
      </c>
      <c r="D141" s="1092"/>
      <c r="E141" s="1093"/>
      <c r="F141" s="1094">
        <v>101.5</v>
      </c>
      <c r="G141" s="1092"/>
      <c r="H141" s="1095"/>
      <c r="I141" s="2653" t="s">
        <v>2629</v>
      </c>
      <c r="J141" s="315">
        <v>1</v>
      </c>
      <c r="K141" s="1097">
        <f>ROUND(100+(J141-J140)*K139*100,1)</f>
        <v>96.4</v>
      </c>
    </row>
    <row r="142" spans="1:17" ht="15">
      <c r="B142" s="1091">
        <v>3</v>
      </c>
      <c r="C142" s="1092">
        <v>103</v>
      </c>
      <c r="D142" s="1092"/>
      <c r="E142" s="1093"/>
      <c r="F142" s="1094">
        <v>101</v>
      </c>
      <c r="G142" s="1092"/>
      <c r="H142" s="1095"/>
      <c r="I142" s="2653" t="s">
        <v>2630</v>
      </c>
      <c r="J142" s="315">
        <f>J139</f>
        <v>20</v>
      </c>
      <c r="K142" s="1098">
        <v>95</v>
      </c>
    </row>
    <row r="143" spans="1:17" ht="15">
      <c r="B143" s="1091">
        <v>2</v>
      </c>
      <c r="C143" s="1092">
        <v>100</v>
      </c>
      <c r="D143" s="1092"/>
      <c r="E143" s="1093"/>
      <c r="F143" s="1094">
        <v>100.5</v>
      </c>
      <c r="G143" s="1092"/>
      <c r="H143" s="1095"/>
      <c r="I143" s="2653" t="s">
        <v>2631</v>
      </c>
      <c r="J143" s="1092">
        <v>15</v>
      </c>
      <c r="K143" s="1097">
        <f>ROUND(100+(J143-J140)*K139*100,1)</f>
        <v>102</v>
      </c>
    </row>
    <row r="144" spans="1:17" ht="15">
      <c r="B144" s="1091">
        <v>1</v>
      </c>
      <c r="C144" s="1092">
        <v>98</v>
      </c>
      <c r="D144" s="2654" t="s">
        <v>2632</v>
      </c>
      <c r="E144" s="1093">
        <v>102</v>
      </c>
      <c r="F144" s="1099">
        <v>100</v>
      </c>
      <c r="G144" s="2654" t="s">
        <v>2632</v>
      </c>
      <c r="H144" s="1095">
        <v>105</v>
      </c>
      <c r="I144" s="2653" t="s">
        <v>2631</v>
      </c>
      <c r="J144" s="1092">
        <v>18</v>
      </c>
      <c r="K144" s="1097">
        <f>ROUND(100+(J144-J140)*K139*100,1)</f>
        <v>103.2</v>
      </c>
    </row>
    <row r="145" spans="2:11" ht="15.75" thickBot="1">
      <c r="B145" s="2655" t="s">
        <v>2633</v>
      </c>
      <c r="C145" s="1100">
        <f>ROUND(MAX(C139:C144)/MIN(C139:C144)-1,3)</f>
        <v>7.2999999999999995E-2</v>
      </c>
      <c r="D145" s="1101"/>
      <c r="E145" s="1101"/>
      <c r="F145" s="2656" t="s">
        <v>2634</v>
      </c>
      <c r="G145" s="2657"/>
      <c r="H145" s="2658"/>
      <c r="I145" s="2659" t="s">
        <v>2631</v>
      </c>
      <c r="J145" s="1102">
        <v>8</v>
      </c>
      <c r="K145" s="1103">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2681</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9"/>
      <c r="D2" s="1366"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2496.59</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320" t="s">
        <v>2646</v>
      </c>
      <c r="Q4" s="3321"/>
      <c r="R4" s="3315" t="s">
        <v>2642</v>
      </c>
      <c r="S4" s="3316"/>
      <c r="T4" s="3315" t="s">
        <v>2643</v>
      </c>
      <c r="U4" s="3316"/>
      <c r="V4" s="3324" t="s">
        <v>2644</v>
      </c>
      <c r="W4" s="3324"/>
      <c r="X4" s="2673"/>
      <c r="Y4" s="3315" t="s">
        <v>2646</v>
      </c>
      <c r="Z4" s="3316"/>
      <c r="AA4" s="3314" t="s">
        <v>2642</v>
      </c>
      <c r="AB4" s="3314" t="s">
        <v>2643</v>
      </c>
      <c r="AC4" s="3317" t="s">
        <v>2644</v>
      </c>
    </row>
    <row r="5" spans="1:29" ht="15">
      <c r="A5" s="404"/>
      <c r="B5" s="405"/>
      <c r="C5" s="3250" t="s">
        <v>2537</v>
      </c>
      <c r="D5" s="3251"/>
      <c r="E5" s="3312" t="s">
        <v>2538</v>
      </c>
      <c r="F5" s="3249"/>
      <c r="G5" s="3250" t="s">
        <v>2539</v>
      </c>
      <c r="H5" s="3251"/>
      <c r="I5" s="3250" t="s">
        <v>2540</v>
      </c>
      <c r="J5" s="3251"/>
      <c r="K5" s="610"/>
      <c r="L5" s="1131"/>
      <c r="M5" s="1132"/>
      <c r="N5" s="1132"/>
      <c r="O5" s="1132"/>
      <c r="P5" s="3322"/>
      <c r="Q5" s="3266"/>
      <c r="R5" s="3246"/>
      <c r="S5" s="3247"/>
      <c r="T5" s="3246"/>
      <c r="U5" s="3247"/>
      <c r="V5" s="3241"/>
      <c r="W5" s="3241"/>
      <c r="X5" s="1814"/>
      <c r="Y5" s="3246"/>
      <c r="Z5" s="3247"/>
      <c r="AA5" s="3239"/>
      <c r="AB5" s="3239"/>
      <c r="AC5" s="3318"/>
    </row>
    <row r="6" spans="1:29" ht="15.75" thickBot="1">
      <c r="A6" s="406"/>
      <c r="B6" s="407"/>
      <c r="C6" s="3252" t="s">
        <v>2541</v>
      </c>
      <c r="D6" s="3253"/>
      <c r="E6" s="3313" t="s">
        <v>2541</v>
      </c>
      <c r="F6" s="3256"/>
      <c r="G6" s="3252" t="s">
        <v>2541</v>
      </c>
      <c r="H6" s="3253"/>
      <c r="I6" s="3252" t="s">
        <v>2541</v>
      </c>
      <c r="J6" s="3253"/>
      <c r="K6" s="610" t="s">
        <v>2542</v>
      </c>
      <c r="L6" s="1131"/>
      <c r="M6" s="1132"/>
      <c r="N6" s="1132"/>
      <c r="O6" s="1132"/>
      <c r="P6" s="3323"/>
      <c r="Q6" s="3268"/>
      <c r="R6" s="3246"/>
      <c r="S6" s="3247"/>
      <c r="T6" s="3269"/>
      <c r="U6" s="3270"/>
      <c r="V6" s="3241"/>
      <c r="W6" s="3241"/>
      <c r="X6" s="1814"/>
      <c r="Y6" s="3269"/>
      <c r="Z6" s="3270"/>
      <c r="AA6" s="3240"/>
      <c r="AB6" s="3240"/>
      <c r="AC6" s="3319"/>
    </row>
    <row r="7" spans="1:29" s="117" customFormat="1" ht="15.75" thickBot="1">
      <c r="A7" s="408" t="s">
        <v>2543</v>
      </c>
      <c r="B7" s="409"/>
      <c r="C7" s="410">
        <f>'数据-取费表'!B2</f>
        <v>43251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25" t="s">
        <v>2544</v>
      </c>
      <c r="Q7" s="3271"/>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25" t="s">
        <v>2547</v>
      </c>
      <c r="Q8" s="3243"/>
      <c r="R8" s="768" t="s">
        <v>17</v>
      </c>
      <c r="S8" s="769">
        <f t="shared" si="0"/>
        <v>0</v>
      </c>
      <c r="T8" s="768" t="s">
        <v>17</v>
      </c>
      <c r="U8" s="769">
        <f t="shared" si="1"/>
        <v>0</v>
      </c>
      <c r="V8" s="768" t="s">
        <v>17</v>
      </c>
      <c r="W8" s="769">
        <f t="shared" si="2"/>
        <v>0</v>
      </c>
      <c r="X8" s="770"/>
      <c r="Y8" s="3242" t="s">
        <v>2547</v>
      </c>
      <c r="Z8" s="3243"/>
      <c r="AA8" s="771" t="e">
        <f t="shared" ref="AA8:AA47" si="3">D8/F8</f>
        <v>#DIV/0!</v>
      </c>
      <c r="AB8" s="771"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58"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58"/>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58"/>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58"/>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58"/>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58"/>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72" t="s">
        <v>2555</v>
      </c>
      <c r="Q15" s="1811" t="str">
        <f t="shared" si="6"/>
        <v>办公集聚程度</v>
      </c>
      <c r="R15" s="772" t="s">
        <v>17</v>
      </c>
      <c r="S15" s="773">
        <f t="shared" si="0"/>
        <v>100</v>
      </c>
      <c r="T15" s="772" t="s">
        <v>17</v>
      </c>
      <c r="U15" s="773">
        <f t="shared" si="1"/>
        <v>100</v>
      </c>
      <c r="V15" s="772" t="s">
        <v>17</v>
      </c>
      <c r="W15" s="773">
        <f t="shared" si="2"/>
        <v>100</v>
      </c>
      <c r="X15" s="1814"/>
      <c r="Y15" s="3274" t="s">
        <v>2555</v>
      </c>
      <c r="Z15" s="1815" t="str">
        <f t="shared" si="7"/>
        <v>办公集聚程度</v>
      </c>
      <c r="AA15" s="1812">
        <f t="shared" si="3"/>
        <v>1</v>
      </c>
      <c r="AB15" s="1812">
        <f t="shared" si="4"/>
        <v>1</v>
      </c>
      <c r="AC15" s="2677">
        <f t="shared" si="5"/>
        <v>1</v>
      </c>
    </row>
    <row r="16" spans="1:29" ht="15">
      <c r="A16" s="428"/>
      <c r="B16" s="630"/>
      <c r="C16" s="2614"/>
      <c r="D16" s="448"/>
      <c r="E16" s="447"/>
      <c r="F16" s="448"/>
      <c r="G16" s="2614"/>
      <c r="H16" s="450"/>
      <c r="I16" s="447"/>
      <c r="J16" s="448"/>
      <c r="K16" s="615"/>
      <c r="L16" s="1141"/>
      <c r="M16" s="1132"/>
      <c r="N16" s="1132"/>
      <c r="O16" s="1132"/>
      <c r="P16" s="3273"/>
      <c r="Q16" s="1811"/>
      <c r="R16" s="772"/>
      <c r="S16" s="773"/>
      <c r="T16" s="772"/>
      <c r="U16" s="773"/>
      <c r="V16" s="772"/>
      <c r="W16" s="773"/>
      <c r="X16" s="1814"/>
      <c r="Y16" s="3275"/>
      <c r="Z16" s="1815"/>
      <c r="AA16" s="1812">
        <v>1</v>
      </c>
      <c r="AB16" s="1812">
        <v>1</v>
      </c>
      <c r="AC16" s="2677">
        <v>1</v>
      </c>
    </row>
    <row r="17" spans="1:29" ht="85.5">
      <c r="A17" s="428"/>
      <c r="B17" s="631" t="s">
        <v>2096</v>
      </c>
      <c r="C17" s="2678" t="str">
        <f>估价对象房地状况!C6</f>
        <v>周边有28、53、621、638路等多条公交线路及地铁10、14号线经过，交通便捷度较好。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73"/>
      <c r="Q17" s="1811" t="str">
        <f>B17</f>
        <v>交通便捷度</v>
      </c>
      <c r="R17" s="772" t="s">
        <v>17</v>
      </c>
      <c r="S17" s="773">
        <f>F17</f>
        <v>100</v>
      </c>
      <c r="T17" s="772" t="s">
        <v>17</v>
      </c>
      <c r="U17" s="773">
        <f>H17</f>
        <v>100</v>
      </c>
      <c r="V17" s="772" t="s">
        <v>17</v>
      </c>
      <c r="W17" s="773">
        <f>J17</f>
        <v>100</v>
      </c>
      <c r="X17" s="1814"/>
      <c r="Y17" s="3275"/>
      <c r="Z17" s="1815" t="str">
        <f>Q17</f>
        <v>交通便捷度</v>
      </c>
      <c r="AA17" s="1812">
        <f t="shared" si="3"/>
        <v>1</v>
      </c>
      <c r="AB17" s="1812">
        <f t="shared" si="4"/>
        <v>1</v>
      </c>
      <c r="AC17" s="2677">
        <f t="shared" si="5"/>
        <v>1</v>
      </c>
    </row>
    <row r="18" spans="1:29" ht="15">
      <c r="A18" s="428"/>
      <c r="B18" s="632"/>
      <c r="C18" s="2679"/>
      <c r="D18" s="450"/>
      <c r="E18" s="2612"/>
      <c r="F18" s="450"/>
      <c r="G18" s="2613"/>
      <c r="H18" s="448"/>
      <c r="I18" s="2613"/>
      <c r="J18" s="448"/>
      <c r="K18" s="615"/>
      <c r="L18" s="1141"/>
      <c r="M18" s="1132"/>
      <c r="N18" s="1132"/>
      <c r="O18" s="1132"/>
      <c r="P18" s="3273"/>
      <c r="Q18" s="1811"/>
      <c r="R18" s="772"/>
      <c r="S18" s="773"/>
      <c r="T18" s="772"/>
      <c r="U18" s="773"/>
      <c r="V18" s="772"/>
      <c r="W18" s="773"/>
      <c r="X18" s="1814"/>
      <c r="Y18" s="3275"/>
      <c r="Z18" s="1815"/>
      <c r="AA18" s="1812">
        <v>1</v>
      </c>
      <c r="AB18" s="1812">
        <v>1</v>
      </c>
      <c r="AC18" s="2677">
        <v>1</v>
      </c>
    </row>
    <row r="19" spans="1:29" ht="71.25">
      <c r="A19" s="428"/>
      <c r="B19" s="631" t="s">
        <v>2683</v>
      </c>
      <c r="C19" s="2678" t="str">
        <f>估价对象房地状况!C7</f>
        <v>周边有汉华购物中心、晓慧便民超市、北京中山医院等，公共服务配套设施齐备度较好。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73"/>
      <c r="Q19" s="1811" t="str">
        <f>B19</f>
        <v>公共配套设施</v>
      </c>
      <c r="R19" s="772" t="s">
        <v>17</v>
      </c>
      <c r="S19" s="773">
        <f>F19</f>
        <v>100</v>
      </c>
      <c r="T19" s="772" t="s">
        <v>17</v>
      </c>
      <c r="U19" s="773">
        <f>H19</f>
        <v>100</v>
      </c>
      <c r="V19" s="772" t="s">
        <v>17</v>
      </c>
      <c r="W19" s="773">
        <f>J19</f>
        <v>100</v>
      </c>
      <c r="X19" s="1814"/>
      <c r="Y19" s="3275"/>
      <c r="Z19" s="1815" t="str">
        <f>Q19</f>
        <v>公共配套设施</v>
      </c>
      <c r="AA19" s="1812">
        <f t="shared" si="3"/>
        <v>1</v>
      </c>
      <c r="AB19" s="1812">
        <f t="shared" si="4"/>
        <v>1</v>
      </c>
      <c r="AC19" s="2677">
        <f t="shared" si="5"/>
        <v>1</v>
      </c>
    </row>
    <row r="20" spans="1:29" ht="15">
      <c r="A20" s="428"/>
      <c r="B20" s="632"/>
      <c r="C20" s="2614"/>
      <c r="D20" s="448"/>
      <c r="E20" s="2607"/>
      <c r="F20" s="448"/>
      <c r="G20" s="2608"/>
      <c r="H20" s="448"/>
      <c r="I20" s="2608"/>
      <c r="J20" s="448"/>
      <c r="K20" s="615"/>
      <c r="L20" s="1141"/>
      <c r="M20" s="1132"/>
      <c r="N20" s="1132"/>
      <c r="O20" s="1132"/>
      <c r="P20" s="3273"/>
      <c r="Q20" s="1811"/>
      <c r="R20" s="772"/>
      <c r="S20" s="773"/>
      <c r="T20" s="772"/>
      <c r="U20" s="773"/>
      <c r="V20" s="772"/>
      <c r="W20" s="773"/>
      <c r="X20" s="1814"/>
      <c r="Y20" s="3275"/>
      <c r="Z20" s="1815"/>
      <c r="AA20" s="1812">
        <v>1</v>
      </c>
      <c r="AB20" s="1812">
        <v>1</v>
      </c>
      <c r="AC20" s="2677">
        <v>1</v>
      </c>
    </row>
    <row r="21" spans="1:29" ht="28.5">
      <c r="A21" s="428"/>
      <c r="B21" s="633" t="s">
        <v>2684</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73"/>
      <c r="Q21" s="1811" t="str">
        <f>B21</f>
        <v>基础设施水平</v>
      </c>
      <c r="R21" s="772" t="s">
        <v>17</v>
      </c>
      <c r="S21" s="773">
        <f>F21</f>
        <v>100</v>
      </c>
      <c r="T21" s="772" t="s">
        <v>17</v>
      </c>
      <c r="U21" s="773">
        <f>H21</f>
        <v>100</v>
      </c>
      <c r="V21" s="772" t="s">
        <v>17</v>
      </c>
      <c r="W21" s="773">
        <f>J21</f>
        <v>100</v>
      </c>
      <c r="X21" s="1814"/>
      <c r="Y21" s="3275"/>
      <c r="Z21" s="1815" t="str">
        <f>Q21</f>
        <v>基础设施水平</v>
      </c>
      <c r="AA21" s="1812">
        <f t="shared" ref="AA21" si="8">D21/F21</f>
        <v>1</v>
      </c>
      <c r="AB21" s="1812">
        <f t="shared" ref="AB21" si="9">D21/H21</f>
        <v>1</v>
      </c>
      <c r="AC21" s="2677">
        <f t="shared" ref="AC21" si="10">D21/J21</f>
        <v>1</v>
      </c>
    </row>
    <row r="22" spans="1:29" ht="15">
      <c r="A22" s="428"/>
      <c r="B22" s="633"/>
      <c r="C22" s="2679"/>
      <c r="D22" s="448"/>
      <c r="E22" s="447"/>
      <c r="F22" s="448"/>
      <c r="G22" s="2614"/>
      <c r="H22" s="448"/>
      <c r="I22" s="2614"/>
      <c r="J22" s="448"/>
      <c r="K22" s="1384"/>
      <c r="L22" s="1141"/>
      <c r="M22" s="1132"/>
      <c r="N22" s="1132"/>
      <c r="O22" s="1132"/>
      <c r="P22" s="3273"/>
      <c r="Q22" s="1811"/>
      <c r="R22" s="772"/>
      <c r="S22" s="773"/>
      <c r="T22" s="772"/>
      <c r="U22" s="773"/>
      <c r="V22" s="772"/>
      <c r="W22" s="773"/>
      <c r="X22" s="1814"/>
      <c r="Y22" s="3275"/>
      <c r="Z22" s="1815"/>
      <c r="AA22" s="1812">
        <v>1</v>
      </c>
      <c r="AB22" s="1812">
        <v>1</v>
      </c>
      <c r="AC22" s="2677">
        <v>1</v>
      </c>
    </row>
    <row r="23" spans="1:29" ht="85.5">
      <c r="A23" s="428"/>
      <c r="B23" s="631" t="s">
        <v>2685</v>
      </c>
      <c r="C23" s="2678" t="str">
        <f>估价对象房地状况!C9</f>
        <v>周边2公里内有龙潭湖、北京工业大学等，周边无大型污染源，综合考虑自然及人文环境较好。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73"/>
      <c r="Q23" s="1811" t="str">
        <f>B23</f>
        <v>环境质量</v>
      </c>
      <c r="R23" s="772" t="s">
        <v>17</v>
      </c>
      <c r="S23" s="773">
        <f>F23</f>
        <v>100</v>
      </c>
      <c r="T23" s="772" t="s">
        <v>17</v>
      </c>
      <c r="U23" s="773">
        <f>H23</f>
        <v>100</v>
      </c>
      <c r="V23" s="772" t="s">
        <v>17</v>
      </c>
      <c r="W23" s="773">
        <f>J23</f>
        <v>100</v>
      </c>
      <c r="X23" s="1814"/>
      <c r="Y23" s="3275"/>
      <c r="Z23" s="1815" t="str">
        <f>Q23</f>
        <v>环境质量</v>
      </c>
      <c r="AA23" s="1812">
        <f t="shared" si="3"/>
        <v>1</v>
      </c>
      <c r="AB23" s="1812">
        <f t="shared" si="4"/>
        <v>1</v>
      </c>
      <c r="AC23" s="2677">
        <f t="shared" si="5"/>
        <v>1</v>
      </c>
    </row>
    <row r="24" spans="1:29" ht="15">
      <c r="A24" s="428"/>
      <c r="B24" s="633"/>
      <c r="C24" s="2614"/>
      <c r="D24" s="448"/>
      <c r="E24" s="2607"/>
      <c r="F24" s="448"/>
      <c r="G24" s="2608"/>
      <c r="H24" s="448"/>
      <c r="I24" s="2608"/>
      <c r="J24" s="448"/>
      <c r="K24" s="615"/>
      <c r="L24" s="1141"/>
      <c r="M24" s="1132"/>
      <c r="N24" s="1132"/>
      <c r="O24" s="1132"/>
      <c r="P24" s="3273"/>
      <c r="Q24" s="1811"/>
      <c r="R24" s="772"/>
      <c r="S24" s="773"/>
      <c r="T24" s="772"/>
      <c r="U24" s="773"/>
      <c r="V24" s="772"/>
      <c r="W24" s="773"/>
      <c r="X24" s="1814"/>
      <c r="Y24" s="3275"/>
      <c r="Z24" s="1815"/>
      <c r="AA24" s="1812">
        <v>1</v>
      </c>
      <c r="AB24" s="1812">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1"/>
      <c r="M25" s="1132"/>
      <c r="N25" s="1132"/>
      <c r="O25" s="1132"/>
      <c r="P25" s="3273"/>
      <c r="Q25" s="1811" t="str">
        <f>B25</f>
        <v>毗邻道路的类型与等级</v>
      </c>
      <c r="R25" s="772" t="s">
        <v>17</v>
      </c>
      <c r="S25" s="773">
        <f>F25</f>
        <v>100</v>
      </c>
      <c r="T25" s="772" t="s">
        <v>17</v>
      </c>
      <c r="U25" s="773">
        <f>H25</f>
        <v>100</v>
      </c>
      <c r="V25" s="772" t="s">
        <v>17</v>
      </c>
      <c r="W25" s="773">
        <f>J25</f>
        <v>100</v>
      </c>
      <c r="X25" s="1814"/>
      <c r="Y25" s="3275"/>
      <c r="Z25" s="1815" t="str">
        <f>Q25</f>
        <v>毗邻道路的类型与等级</v>
      </c>
      <c r="AA25" s="1812">
        <f t="shared" si="3"/>
        <v>1</v>
      </c>
      <c r="AB25" s="1812">
        <f t="shared" si="4"/>
        <v>1</v>
      </c>
      <c r="AC25" s="2677">
        <f t="shared" si="5"/>
        <v>1</v>
      </c>
    </row>
    <row r="26" spans="1:29" ht="15">
      <c r="A26" s="404"/>
      <c r="B26" s="632"/>
      <c r="C26" s="634"/>
      <c r="D26" s="435"/>
      <c r="E26" s="616"/>
      <c r="F26" s="435"/>
      <c r="G26" s="634"/>
      <c r="H26" s="435"/>
      <c r="I26" s="616"/>
      <c r="J26" s="435"/>
      <c r="K26" s="615"/>
      <c r="L26" s="1141"/>
      <c r="M26" s="1132"/>
      <c r="N26" s="1132"/>
      <c r="O26" s="1132"/>
      <c r="P26" s="3273"/>
      <c r="Q26" s="1811"/>
      <c r="R26" s="772"/>
      <c r="S26" s="773"/>
      <c r="T26" s="772"/>
      <c r="U26" s="773"/>
      <c r="V26" s="772"/>
      <c r="W26" s="773"/>
      <c r="X26" s="1814"/>
      <c r="Y26" s="3275"/>
      <c r="Z26" s="1815"/>
      <c r="AA26" s="1812">
        <v>1</v>
      </c>
      <c r="AB26" s="1812">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73"/>
      <c r="Q27" s="1811" t="str">
        <f t="shared" ref="Q27:Q47" si="11">B27</f>
        <v>楼层</v>
      </c>
      <c r="R27" s="772" t="s">
        <v>17</v>
      </c>
      <c r="S27" s="773">
        <f>F27</f>
        <v>100</v>
      </c>
      <c r="T27" s="772" t="s">
        <v>17</v>
      </c>
      <c r="U27" s="773">
        <f>H27</f>
        <v>100</v>
      </c>
      <c r="V27" s="772" t="s">
        <v>17</v>
      </c>
      <c r="W27" s="773">
        <f>J27</f>
        <v>100</v>
      </c>
      <c r="X27" s="1814"/>
      <c r="Y27" s="3275"/>
      <c r="Z27" s="1815" t="str">
        <f>Q27</f>
        <v>楼层</v>
      </c>
      <c r="AA27" s="1812">
        <f t="shared" si="3"/>
        <v>1</v>
      </c>
      <c r="AB27" s="1812">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3"/>
      <c r="M28" s="1134"/>
      <c r="N28" s="1134"/>
      <c r="O28" s="1134"/>
      <c r="P28" s="3273"/>
      <c r="Q28" s="1796" t="str">
        <f t="shared" si="11"/>
        <v>朝向</v>
      </c>
      <c r="R28" s="768" t="s">
        <v>17</v>
      </c>
      <c r="S28" s="769">
        <f>F28</f>
        <v>100</v>
      </c>
      <c r="T28" s="768" t="s">
        <v>17</v>
      </c>
      <c r="U28" s="769">
        <f>H28</f>
        <v>100</v>
      </c>
      <c r="V28" s="768" t="s">
        <v>17</v>
      </c>
      <c r="W28" s="769">
        <f>J28</f>
        <v>100</v>
      </c>
      <c r="X28" s="770"/>
      <c r="Y28" s="3275"/>
      <c r="Z28" s="55" t="str">
        <f>Q28</f>
        <v>朝向</v>
      </c>
      <c r="AA28" s="1812">
        <f>D28/F28</f>
        <v>1</v>
      </c>
      <c r="AB28" s="1812">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1"/>
      <c r="M29" s="1132"/>
      <c r="N29" s="1132"/>
      <c r="O29" s="1132"/>
      <c r="P29" s="3273"/>
      <c r="Q29" s="1811">
        <f t="shared" si="11"/>
        <v>111</v>
      </c>
      <c r="R29" s="772" t="s">
        <v>17</v>
      </c>
      <c r="S29" s="773">
        <f t="shared" ref="S29:S47" si="12">F29</f>
        <v>100</v>
      </c>
      <c r="T29" s="772" t="s">
        <v>17</v>
      </c>
      <c r="U29" s="773">
        <f t="shared" ref="U29:U47" si="13">H29</f>
        <v>100</v>
      </c>
      <c r="V29" s="772" t="s">
        <v>17</v>
      </c>
      <c r="W29" s="773">
        <f t="shared" ref="W29:W47" si="14">J29</f>
        <v>100</v>
      </c>
      <c r="X29" s="1814"/>
      <c r="Y29" s="3275"/>
      <c r="Z29" s="1815">
        <f t="shared" ref="Z29:Z47" si="15">Q29</f>
        <v>111</v>
      </c>
      <c r="AA29" s="1812">
        <f t="shared" si="3"/>
        <v>1</v>
      </c>
      <c r="AB29" s="1812">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73"/>
      <c r="Q30" s="1811">
        <f t="shared" si="11"/>
        <v>111</v>
      </c>
      <c r="R30" s="772" t="s">
        <v>17</v>
      </c>
      <c r="S30" s="773">
        <f t="shared" si="12"/>
        <v>100</v>
      </c>
      <c r="T30" s="772" t="s">
        <v>17</v>
      </c>
      <c r="U30" s="773">
        <f t="shared" si="13"/>
        <v>100</v>
      </c>
      <c r="V30" s="772" t="s">
        <v>17</v>
      </c>
      <c r="W30" s="773">
        <f t="shared" si="14"/>
        <v>100</v>
      </c>
      <c r="X30" s="1814"/>
      <c r="Y30" s="3275"/>
      <c r="Z30" s="1815">
        <f t="shared" si="15"/>
        <v>111</v>
      </c>
      <c r="AA30" s="1812">
        <f t="shared" si="3"/>
        <v>1</v>
      </c>
      <c r="AB30" s="1812">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73"/>
      <c r="Q31" s="1811">
        <f t="shared" si="11"/>
        <v>111</v>
      </c>
      <c r="R31" s="772" t="s">
        <v>17</v>
      </c>
      <c r="S31" s="773">
        <f t="shared" si="12"/>
        <v>100</v>
      </c>
      <c r="T31" s="772" t="s">
        <v>17</v>
      </c>
      <c r="U31" s="773">
        <f t="shared" si="13"/>
        <v>100</v>
      </c>
      <c r="V31" s="772" t="s">
        <v>17</v>
      </c>
      <c r="W31" s="773">
        <f t="shared" si="14"/>
        <v>100</v>
      </c>
      <c r="X31" s="1814"/>
      <c r="Y31" s="3275"/>
      <c r="Z31" s="1815">
        <f t="shared" si="15"/>
        <v>111</v>
      </c>
      <c r="AA31" s="1812">
        <f t="shared" si="3"/>
        <v>1</v>
      </c>
      <c r="AB31" s="1812">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73"/>
      <c r="Q32" s="1811">
        <f t="shared" si="11"/>
        <v>111</v>
      </c>
      <c r="R32" s="772" t="s">
        <v>17</v>
      </c>
      <c r="S32" s="773">
        <f t="shared" si="12"/>
        <v>100</v>
      </c>
      <c r="T32" s="772" t="s">
        <v>17</v>
      </c>
      <c r="U32" s="773">
        <f t="shared" si="13"/>
        <v>100</v>
      </c>
      <c r="V32" s="772" t="s">
        <v>17</v>
      </c>
      <c r="W32" s="773">
        <f t="shared" si="14"/>
        <v>100</v>
      </c>
      <c r="X32" s="1814"/>
      <c r="Y32" s="3275"/>
      <c r="Z32" s="1815">
        <f t="shared" si="15"/>
        <v>111</v>
      </c>
      <c r="AA32" s="1812">
        <f t="shared" si="3"/>
        <v>1</v>
      </c>
      <c r="AB32" s="1812">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1"/>
      <c r="M33" s="1132"/>
      <c r="N33" s="1132"/>
      <c r="O33" s="1132"/>
      <c r="P33" s="3276" t="s">
        <v>2560</v>
      </c>
      <c r="Q33" s="1811" t="str">
        <f t="shared" si="11"/>
        <v>建筑类型</v>
      </c>
      <c r="R33" s="772" t="s">
        <v>17</v>
      </c>
      <c r="S33" s="773">
        <f t="shared" si="12"/>
        <v>100</v>
      </c>
      <c r="T33" s="772" t="s">
        <v>17</v>
      </c>
      <c r="U33" s="773">
        <f t="shared" si="13"/>
        <v>100</v>
      </c>
      <c r="V33" s="772" t="s">
        <v>17</v>
      </c>
      <c r="W33" s="773">
        <f t="shared" si="14"/>
        <v>100</v>
      </c>
      <c r="X33" s="1814"/>
      <c r="Y33" s="3279" t="s">
        <v>2560</v>
      </c>
      <c r="Z33" s="1815" t="str">
        <f t="shared" si="15"/>
        <v>建筑类型</v>
      </c>
      <c r="AA33" s="1812">
        <f t="shared" si="3"/>
        <v>1</v>
      </c>
      <c r="AB33" s="1812">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77"/>
      <c r="Q34" s="774" t="str">
        <f t="shared" si="11"/>
        <v>项目建筑规模</v>
      </c>
      <c r="R34" s="775" t="s">
        <v>17</v>
      </c>
      <c r="S34" s="776" t="e">
        <f t="shared" si="12"/>
        <v>#N/A</v>
      </c>
      <c r="T34" s="775" t="s">
        <v>17</v>
      </c>
      <c r="U34" s="776" t="e">
        <f t="shared" si="13"/>
        <v>#N/A</v>
      </c>
      <c r="V34" s="775" t="s">
        <v>17</v>
      </c>
      <c r="W34" s="776" t="e">
        <f t="shared" si="14"/>
        <v>#N/A</v>
      </c>
      <c r="X34" s="777"/>
      <c r="Y34" s="3279"/>
      <c r="Z34" s="778" t="str">
        <f t="shared" si="15"/>
        <v>项目建筑规模</v>
      </c>
      <c r="AA34" s="1812" t="e">
        <f t="shared" si="3"/>
        <v>#N/A</v>
      </c>
      <c r="AB34" s="1812"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77"/>
      <c r="Q35" s="1811" t="str">
        <f t="shared" si="11"/>
        <v>建筑结构</v>
      </c>
      <c r="R35" s="772" t="s">
        <v>17</v>
      </c>
      <c r="S35" s="773">
        <f t="shared" si="12"/>
        <v>100</v>
      </c>
      <c r="T35" s="772" t="s">
        <v>17</v>
      </c>
      <c r="U35" s="773">
        <f t="shared" si="13"/>
        <v>100</v>
      </c>
      <c r="V35" s="772" t="s">
        <v>17</v>
      </c>
      <c r="W35" s="773">
        <f t="shared" si="14"/>
        <v>100</v>
      </c>
      <c r="X35" s="1814"/>
      <c r="Y35" s="3279"/>
      <c r="Z35" s="1815" t="str">
        <f t="shared" si="15"/>
        <v>建筑结构</v>
      </c>
      <c r="AA35" s="1812">
        <f t="shared" si="3"/>
        <v>1</v>
      </c>
      <c r="AB35" s="1812">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77"/>
      <c r="Q36" s="1811" t="str">
        <f t="shared" si="11"/>
        <v>公共部分装修</v>
      </c>
      <c r="R36" s="772" t="s">
        <v>17</v>
      </c>
      <c r="S36" s="773">
        <f t="shared" si="12"/>
        <v>100</v>
      </c>
      <c r="T36" s="772" t="s">
        <v>17</v>
      </c>
      <c r="U36" s="773">
        <f t="shared" si="13"/>
        <v>100</v>
      </c>
      <c r="V36" s="772" t="s">
        <v>17</v>
      </c>
      <c r="W36" s="773">
        <f t="shared" si="14"/>
        <v>100</v>
      </c>
      <c r="X36" s="1814"/>
      <c r="Y36" s="3279"/>
      <c r="Z36" s="1815" t="str">
        <f t="shared" si="15"/>
        <v>公共部分装修</v>
      </c>
      <c r="AA36" s="1812">
        <f t="shared" si="3"/>
        <v>1</v>
      </c>
      <c r="AB36" s="1812">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77"/>
      <c r="Q37" s="1811" t="str">
        <f t="shared" si="11"/>
        <v>成新度</v>
      </c>
      <c r="R37" s="772" t="s">
        <v>17</v>
      </c>
      <c r="S37" s="773" t="e">
        <f t="shared" si="12"/>
        <v>#N/A</v>
      </c>
      <c r="T37" s="772" t="s">
        <v>17</v>
      </c>
      <c r="U37" s="773" t="e">
        <f t="shared" si="13"/>
        <v>#N/A</v>
      </c>
      <c r="V37" s="772" t="s">
        <v>17</v>
      </c>
      <c r="W37" s="773" t="e">
        <f t="shared" si="14"/>
        <v>#N/A</v>
      </c>
      <c r="X37" s="1814"/>
      <c r="Y37" s="3279"/>
      <c r="Z37" s="1815" t="str">
        <f t="shared" si="15"/>
        <v>成新度</v>
      </c>
      <c r="AA37" s="1812" t="e">
        <f t="shared" si="3"/>
        <v>#N/A</v>
      </c>
      <c r="AB37" s="1812"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77"/>
      <c r="Q38" s="1796" t="str">
        <f t="shared" si="11"/>
        <v>写字楼等级</v>
      </c>
      <c r="R38" s="768" t="s">
        <v>17</v>
      </c>
      <c r="S38" s="769">
        <f t="shared" si="12"/>
        <v>100</v>
      </c>
      <c r="T38" s="768" t="s">
        <v>17</v>
      </c>
      <c r="U38" s="769">
        <f t="shared" si="13"/>
        <v>100</v>
      </c>
      <c r="V38" s="768" t="s">
        <v>17</v>
      </c>
      <c r="W38" s="769">
        <f t="shared" si="14"/>
        <v>100</v>
      </c>
      <c r="X38" s="770"/>
      <c r="Y38" s="3279"/>
      <c r="Z38" s="55" t="str">
        <f t="shared" si="15"/>
        <v>写字楼等级</v>
      </c>
      <c r="AA38" s="771">
        <f t="shared" si="3"/>
        <v>1</v>
      </c>
      <c r="AB38" s="771">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77" t="s">
        <v>2560</v>
      </c>
      <c r="Q39" s="1811" t="str">
        <f t="shared" si="11"/>
        <v>物业管理</v>
      </c>
      <c r="R39" s="772" t="s">
        <v>17</v>
      </c>
      <c r="S39" s="773">
        <f t="shared" si="12"/>
        <v>100</v>
      </c>
      <c r="T39" s="772" t="s">
        <v>17</v>
      </c>
      <c r="U39" s="773">
        <f t="shared" si="13"/>
        <v>100</v>
      </c>
      <c r="V39" s="772" t="s">
        <v>17</v>
      </c>
      <c r="W39" s="773">
        <f t="shared" si="14"/>
        <v>100</v>
      </c>
      <c r="X39" s="1814"/>
      <c r="Y39" s="3279" t="s">
        <v>2560</v>
      </c>
      <c r="Z39" s="1815" t="str">
        <f t="shared" si="15"/>
        <v>物业管理</v>
      </c>
      <c r="AA39" s="1812">
        <f t="shared" si="3"/>
        <v>1</v>
      </c>
      <c r="AB39" s="1812">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77"/>
      <c r="Q40" s="1811" t="str">
        <f t="shared" si="11"/>
        <v>市政基础设施</v>
      </c>
      <c r="R40" s="772" t="s">
        <v>17</v>
      </c>
      <c r="S40" s="773">
        <f t="shared" si="12"/>
        <v>100</v>
      </c>
      <c r="T40" s="772" t="s">
        <v>17</v>
      </c>
      <c r="U40" s="773">
        <f t="shared" si="13"/>
        <v>100</v>
      </c>
      <c r="V40" s="772" t="s">
        <v>17</v>
      </c>
      <c r="W40" s="773">
        <f t="shared" si="14"/>
        <v>100</v>
      </c>
      <c r="X40" s="1814"/>
      <c r="Y40" s="3279"/>
      <c r="Z40" s="1815" t="str">
        <f t="shared" si="15"/>
        <v>市政基础设施</v>
      </c>
      <c r="AA40" s="1812">
        <f t="shared" si="3"/>
        <v>1</v>
      </c>
      <c r="AB40" s="1812">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77"/>
      <c r="Q41" s="1811" t="str">
        <f t="shared" si="11"/>
        <v>层高</v>
      </c>
      <c r="R41" s="772" t="s">
        <v>17</v>
      </c>
      <c r="S41" s="773">
        <f t="shared" si="12"/>
        <v>100</v>
      </c>
      <c r="T41" s="772" t="s">
        <v>17</v>
      </c>
      <c r="U41" s="773">
        <f t="shared" si="13"/>
        <v>100</v>
      </c>
      <c r="V41" s="772" t="s">
        <v>17</v>
      </c>
      <c r="W41" s="773">
        <f t="shared" si="14"/>
        <v>100</v>
      </c>
      <c r="X41" s="1814"/>
      <c r="Y41" s="3279"/>
      <c r="Z41" s="1815" t="str">
        <f t="shared" si="15"/>
        <v>层高</v>
      </c>
      <c r="AA41" s="1812">
        <f t="shared" si="3"/>
        <v>1</v>
      </c>
      <c r="AB41" s="1812">
        <f t="shared" si="4"/>
        <v>1</v>
      </c>
      <c r="AC41" s="2677">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77"/>
      <c r="Q42" s="774" t="str">
        <f t="shared" si="11"/>
        <v>单套建筑面积</v>
      </c>
      <c r="R42" s="775" t="s">
        <v>17</v>
      </c>
      <c r="S42" s="776">
        <f t="shared" si="12"/>
        <v>100</v>
      </c>
      <c r="T42" s="775" t="s">
        <v>17</v>
      </c>
      <c r="U42" s="776">
        <f t="shared" si="13"/>
        <v>100</v>
      </c>
      <c r="V42" s="775" t="s">
        <v>17</v>
      </c>
      <c r="W42" s="776">
        <f t="shared" si="14"/>
        <v>100</v>
      </c>
      <c r="X42" s="777"/>
      <c r="Y42" s="3279"/>
      <c r="Z42" s="778" t="str">
        <f t="shared" si="15"/>
        <v>单套建筑面积</v>
      </c>
      <c r="AA42" s="1812">
        <f t="shared" si="3"/>
        <v>1</v>
      </c>
      <c r="AB42" s="1812">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77"/>
      <c r="Q43" s="1811" t="str">
        <f t="shared" si="11"/>
        <v>内部装修</v>
      </c>
      <c r="R43" s="772" t="s">
        <v>17</v>
      </c>
      <c r="S43" s="773">
        <f t="shared" si="12"/>
        <v>100</v>
      </c>
      <c r="T43" s="772" t="s">
        <v>17</v>
      </c>
      <c r="U43" s="773">
        <f t="shared" si="13"/>
        <v>100</v>
      </c>
      <c r="V43" s="772" t="s">
        <v>17</v>
      </c>
      <c r="W43" s="773">
        <f t="shared" si="14"/>
        <v>100</v>
      </c>
      <c r="X43" s="1814"/>
      <c r="Y43" s="3279"/>
      <c r="Z43" s="1815" t="str">
        <f t="shared" si="15"/>
        <v>内部装修</v>
      </c>
      <c r="AA43" s="1812">
        <f t="shared" si="3"/>
        <v>1</v>
      </c>
      <c r="AB43" s="1812">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1"/>
      <c r="M44" s="1132"/>
      <c r="N44" s="1132"/>
      <c r="O44" s="1132"/>
      <c r="P44" s="3277"/>
      <c r="Q44" s="1811" t="str">
        <f t="shared" si="11"/>
        <v>内部装修维护情况</v>
      </c>
      <c r="R44" s="772" t="s">
        <v>17</v>
      </c>
      <c r="S44" s="773">
        <f t="shared" si="12"/>
        <v>100</v>
      </c>
      <c r="T44" s="772" t="s">
        <v>17</v>
      </c>
      <c r="U44" s="773">
        <f t="shared" si="13"/>
        <v>100</v>
      </c>
      <c r="V44" s="772" t="s">
        <v>17</v>
      </c>
      <c r="W44" s="773">
        <f t="shared" si="14"/>
        <v>100</v>
      </c>
      <c r="X44" s="1814"/>
      <c r="Y44" s="3279"/>
      <c r="Z44" s="1815" t="str">
        <f t="shared" si="15"/>
        <v>内部装修维护情况</v>
      </c>
      <c r="AA44" s="1812">
        <f t="shared" si="3"/>
        <v>1</v>
      </c>
      <c r="AB44" s="1812">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77"/>
      <c r="Q45" s="1796">
        <f t="shared" si="11"/>
        <v>111</v>
      </c>
      <c r="R45" s="768" t="s">
        <v>17</v>
      </c>
      <c r="S45" s="769">
        <f t="shared" si="12"/>
        <v>100</v>
      </c>
      <c r="T45" s="768" t="s">
        <v>17</v>
      </c>
      <c r="U45" s="769">
        <f t="shared" si="13"/>
        <v>100</v>
      </c>
      <c r="V45" s="768" t="s">
        <v>17</v>
      </c>
      <c r="W45" s="769">
        <f t="shared" si="14"/>
        <v>100</v>
      </c>
      <c r="X45" s="770"/>
      <c r="Y45" s="3279"/>
      <c r="Z45" s="55">
        <f t="shared" si="15"/>
        <v>111</v>
      </c>
      <c r="AA45" s="771">
        <f t="shared" si="3"/>
        <v>1</v>
      </c>
      <c r="AB45" s="771">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77"/>
      <c r="Q46" s="1811">
        <f t="shared" si="11"/>
        <v>111</v>
      </c>
      <c r="R46" s="772" t="s">
        <v>17</v>
      </c>
      <c r="S46" s="773">
        <f t="shared" si="12"/>
        <v>100</v>
      </c>
      <c r="T46" s="772" t="s">
        <v>17</v>
      </c>
      <c r="U46" s="773">
        <f t="shared" si="13"/>
        <v>100</v>
      </c>
      <c r="V46" s="772" t="s">
        <v>17</v>
      </c>
      <c r="W46" s="773">
        <f t="shared" si="14"/>
        <v>100</v>
      </c>
      <c r="X46" s="1814"/>
      <c r="Y46" s="3279"/>
      <c r="Z46" s="1815">
        <f t="shared" si="15"/>
        <v>111</v>
      </c>
      <c r="AA46" s="1812">
        <f t="shared" si="3"/>
        <v>1</v>
      </c>
      <c r="AB46" s="1812">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78"/>
      <c r="Q47" s="1811">
        <f t="shared" si="11"/>
        <v>111</v>
      </c>
      <c r="R47" s="772" t="s">
        <v>17</v>
      </c>
      <c r="S47" s="773">
        <f t="shared" si="12"/>
        <v>100</v>
      </c>
      <c r="T47" s="772" t="s">
        <v>17</v>
      </c>
      <c r="U47" s="773">
        <f t="shared" si="13"/>
        <v>100</v>
      </c>
      <c r="V47" s="772" t="s">
        <v>17</v>
      </c>
      <c r="W47" s="773">
        <f t="shared" si="14"/>
        <v>100</v>
      </c>
      <c r="X47" s="1814"/>
      <c r="Y47" s="3280"/>
      <c r="Z47" s="1815">
        <f t="shared" si="15"/>
        <v>111</v>
      </c>
      <c r="AA47" s="1812">
        <f t="shared" si="3"/>
        <v>1</v>
      </c>
      <c r="AB47" s="1812">
        <f t="shared" si="4"/>
        <v>1</v>
      </c>
      <c r="AC47" s="2677">
        <f t="shared" si="5"/>
        <v>1</v>
      </c>
    </row>
    <row r="48" spans="1:29" ht="15">
      <c r="A48" s="479" t="s">
        <v>2572</v>
      </c>
      <c r="B48" s="480"/>
      <c r="C48" s="1408" t="s">
        <v>1</v>
      </c>
      <c r="D48" s="1409"/>
      <c r="E48" s="1410"/>
      <c r="F48" s="1411"/>
      <c r="G48" s="1412"/>
      <c r="H48" s="1413"/>
      <c r="I48" s="1410"/>
      <c r="J48" s="485"/>
      <c r="K48" s="781"/>
      <c r="L48" s="1144"/>
      <c r="M48" s="1132"/>
      <c r="N48" s="1132"/>
      <c r="O48" s="1132"/>
      <c r="P48" s="3258" t="str">
        <f>A48</f>
        <v>成交单价（元/平方米）</v>
      </c>
      <c r="Q48" s="3281"/>
      <c r="R48" s="3282">
        <f>E48</f>
        <v>0</v>
      </c>
      <c r="S48" s="3282"/>
      <c r="T48" s="3282">
        <f>G48</f>
        <v>0</v>
      </c>
      <c r="U48" s="3282"/>
      <c r="V48" s="3282">
        <f>I48</f>
        <v>0</v>
      </c>
      <c r="W48" s="3282"/>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258"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326" t="str">
        <f>A50</f>
        <v>估价对象XX用房的比较价值（楼面单价，元/平方米）</v>
      </c>
      <c r="Q50" s="3327"/>
      <c r="R50" s="3328" t="e">
        <f>IF(F1="售价",ROUND(AVERAGE(R49:V49),0),ROUND(AVERAGE(R49:V49),1))</f>
        <v>#DIV/0!</v>
      </c>
      <c r="S50" s="3328"/>
      <c r="T50" s="3328"/>
      <c r="U50" s="3328"/>
      <c r="V50" s="3328"/>
      <c r="W50" s="3328"/>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84"/>
      <c r="Q58" s="504"/>
    </row>
    <row r="59" spans="1:29" s="508" customFormat="1" ht="15">
      <c r="A59" s="505" t="s">
        <v>2543</v>
      </c>
      <c r="B59" s="506"/>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2583</v>
      </c>
      <c r="B64" s="528" t="s">
        <v>2549</v>
      </c>
      <c r="C64" s="529">
        <f>C9</f>
        <v>0</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c r="L65" s="536"/>
      <c r="M65" s="537"/>
      <c r="N65" s="1154"/>
      <c r="O65" s="1154"/>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c r="D69" s="549"/>
      <c r="E69" s="549"/>
      <c r="F69" s="549"/>
      <c r="G69" s="549"/>
      <c r="H69" s="549"/>
      <c r="I69" s="549"/>
      <c r="J69" s="549"/>
      <c r="K69" s="550"/>
      <c r="L69" s="551"/>
      <c r="M69" s="552"/>
      <c r="N69" s="1153"/>
      <c r="O69" s="1153"/>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7"/>
      <c r="Q86" s="504"/>
    </row>
    <row r="87" spans="1:17" s="117" customFormat="1" ht="27.75" thickTop="1">
      <c r="A87" s="579"/>
      <c r="B87" s="538" t="s">
        <v>2694</v>
      </c>
      <c r="C87" s="554"/>
      <c r="D87" s="554"/>
      <c r="E87" s="554"/>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8"/>
      <c r="Q92" s="559"/>
    </row>
    <row r="93" spans="1:17" ht="15.75" thickTop="1">
      <c r="A93" s="534"/>
      <c r="B93" s="538">
        <f>B29</f>
        <v>111</v>
      </c>
      <c r="C93" s="554"/>
      <c r="D93" s="554"/>
      <c r="E93" s="554"/>
      <c r="F93" s="554"/>
      <c r="G93" s="554"/>
      <c r="H93" s="554"/>
      <c r="I93" s="554"/>
      <c r="J93" s="554"/>
      <c r="K93" s="554"/>
      <c r="L93" s="580"/>
      <c r="M93" s="581"/>
      <c r="N93" s="1153"/>
      <c r="O93" s="1153"/>
      <c r="P93" s="2687"/>
      <c r="Q93" s="504"/>
    </row>
    <row r="94" spans="1:17" ht="15.75" thickBot="1">
      <c r="A94" s="534"/>
      <c r="B94" s="543"/>
      <c r="C94" s="560"/>
      <c r="D94" s="536"/>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2558</v>
      </c>
      <c r="B101" s="528" t="s">
        <v>2607</v>
      </c>
      <c r="C101" s="530"/>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c r="D104" s="595"/>
      <c r="E104" s="595"/>
      <c r="F104" s="595"/>
      <c r="G104" s="595"/>
      <c r="H104" s="595"/>
      <c r="I104" s="595"/>
      <c r="J104" s="596"/>
      <c r="K104" s="596"/>
      <c r="L104" s="597"/>
      <c r="M104" s="598"/>
      <c r="N104" s="1155"/>
      <c r="O104" s="1155"/>
      <c r="P104" s="2688"/>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8"/>
      <c r="Q105" s="559"/>
    </row>
    <row r="106" spans="1:17" ht="15" thickTop="1">
      <c r="A106" s="599"/>
      <c r="B106" s="538" t="s">
        <v>2609</v>
      </c>
      <c r="C106" s="554"/>
      <c r="D106" s="554"/>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7"/>
      <c r="Q107" s="504"/>
    </row>
    <row r="108" spans="1:17" ht="15" thickTop="1">
      <c r="A108" s="599"/>
      <c r="B108" s="538" t="s">
        <v>2611</v>
      </c>
      <c r="C108" s="554"/>
      <c r="D108" s="554"/>
      <c r="E108" s="554"/>
      <c r="F108" s="583"/>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7"/>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2612</v>
      </c>
      <c r="C115" s="554"/>
      <c r="D115" s="554"/>
      <c r="E115" s="583"/>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7"/>
      <c r="Q116" s="504"/>
    </row>
    <row r="117" spans="1:17" ht="15" thickTop="1">
      <c r="A117" s="599"/>
      <c r="B117" s="538" t="s">
        <v>2613</v>
      </c>
      <c r="C117" s="554"/>
      <c r="D117" s="554"/>
      <c r="E117" s="554"/>
      <c r="F117" s="554"/>
      <c r="G117" s="554"/>
      <c r="H117" s="583"/>
      <c r="I117" s="583"/>
      <c r="J117" s="583"/>
      <c r="K117" s="584"/>
      <c r="L117" s="585"/>
      <c r="M117" s="586"/>
      <c r="N117" s="1153"/>
      <c r="O117" s="1153"/>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7"/>
      <c r="Q118" s="504"/>
    </row>
    <row r="119" spans="1:17" ht="15" thickTop="1">
      <c r="A119" s="599"/>
      <c r="B119" s="636" t="s">
        <v>2696</v>
      </c>
      <c r="C119" s="583"/>
      <c r="D119" s="583"/>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7"/>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2615</v>
      </c>
      <c r="C123" s="554"/>
      <c r="D123" s="554"/>
      <c r="E123" s="554"/>
      <c r="F123" s="583"/>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2697</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9"/>
      <c r="D2" s="1125"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2496.59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2" t="s">
        <v>2538</v>
      </c>
      <c r="F5" s="3249"/>
      <c r="G5" s="3250" t="s">
        <v>2539</v>
      </c>
      <c r="H5" s="3251"/>
      <c r="I5" s="3250" t="s">
        <v>2540</v>
      </c>
      <c r="J5" s="3251"/>
      <c r="K5" s="610"/>
      <c r="L5" s="1131"/>
      <c r="M5" s="1132"/>
      <c r="N5" s="1132"/>
      <c r="O5" s="1132"/>
      <c r="P5" s="3265"/>
      <c r="Q5" s="3266"/>
      <c r="R5" s="3246"/>
      <c r="S5" s="3247"/>
      <c r="T5" s="3246"/>
      <c r="U5" s="3247"/>
      <c r="V5" s="3241"/>
      <c r="W5" s="3241"/>
      <c r="X5" s="1814"/>
      <c r="Y5" s="3246"/>
      <c r="Z5" s="3247"/>
      <c r="AA5" s="3239"/>
      <c r="AB5" s="3239"/>
      <c r="AC5" s="3239"/>
    </row>
    <row r="6" spans="1:29" ht="15.75" thickBot="1">
      <c r="A6" s="406"/>
      <c r="B6" s="407"/>
      <c r="C6" s="3252" t="s">
        <v>2541</v>
      </c>
      <c r="D6" s="3253"/>
      <c r="E6" s="3313" t="s">
        <v>2541</v>
      </c>
      <c r="F6" s="3256"/>
      <c r="G6" s="3252" t="s">
        <v>2541</v>
      </c>
      <c r="H6" s="3253"/>
      <c r="I6" s="3252" t="s">
        <v>2541</v>
      </c>
      <c r="J6" s="3253"/>
      <c r="K6" s="610" t="s">
        <v>2542</v>
      </c>
      <c r="L6" s="1131"/>
      <c r="M6" s="1132"/>
      <c r="N6" s="1132"/>
      <c r="O6" s="1132"/>
      <c r="P6" s="3267"/>
      <c r="Q6" s="3268"/>
      <c r="R6" s="3246"/>
      <c r="S6" s="3247"/>
      <c r="T6" s="3269"/>
      <c r="U6" s="3270"/>
      <c r="V6" s="3241"/>
      <c r="W6" s="3241"/>
      <c r="X6" s="1814"/>
      <c r="Y6" s="3269"/>
      <c r="Z6" s="3270"/>
      <c r="AA6" s="3240"/>
      <c r="AB6" s="3240"/>
      <c r="AC6" s="3240"/>
    </row>
    <row r="7" spans="1:29" s="117" customFormat="1" ht="15.75" thickBot="1">
      <c r="A7" s="408" t="s">
        <v>2543</v>
      </c>
      <c r="B7" s="409"/>
      <c r="C7" s="410">
        <f>'数据-取费表'!B2</f>
        <v>43251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2" t="s">
        <v>2544</v>
      </c>
      <c r="Q7" s="3271"/>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81"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81"/>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81"/>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81"/>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81"/>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81"/>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2554</v>
      </c>
      <c r="B15" s="69" t="s">
        <v>2698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74" t="s">
        <v>2555</v>
      </c>
      <c r="Q15" s="1811" t="str">
        <f t="shared" si="6"/>
        <v>产业集聚程度</v>
      </c>
      <c r="R15" s="772" t="s">
        <v>17</v>
      </c>
      <c r="S15" s="773">
        <f t="shared" si="0"/>
        <v>100</v>
      </c>
      <c r="T15" s="772" t="s">
        <v>17</v>
      </c>
      <c r="U15" s="773">
        <f t="shared" si="1"/>
        <v>100</v>
      </c>
      <c r="V15" s="772" t="s">
        <v>17</v>
      </c>
      <c r="W15" s="773">
        <f t="shared" si="2"/>
        <v>100</v>
      </c>
      <c r="X15" s="1814"/>
      <c r="Y15" s="3274"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75"/>
      <c r="Q16" s="1811"/>
      <c r="R16" s="772"/>
      <c r="S16" s="773"/>
      <c r="T16" s="772"/>
      <c r="U16" s="773"/>
      <c r="V16" s="772"/>
      <c r="W16" s="773"/>
      <c r="X16" s="1814"/>
      <c r="Y16" s="3275"/>
      <c r="Z16" s="1815"/>
      <c r="AA16" s="1812">
        <v>1</v>
      </c>
      <c r="AB16" s="1812">
        <v>1</v>
      </c>
      <c r="AC16" s="1812">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75"/>
      <c r="Q17" s="1811" t="str">
        <f>B17</f>
        <v>交通便捷度</v>
      </c>
      <c r="R17" s="772" t="s">
        <v>17</v>
      </c>
      <c r="S17" s="773">
        <f>F17</f>
        <v>100</v>
      </c>
      <c r="T17" s="772" t="s">
        <v>17</v>
      </c>
      <c r="U17" s="773">
        <f>H17</f>
        <v>100</v>
      </c>
      <c r="V17" s="772" t="s">
        <v>17</v>
      </c>
      <c r="W17" s="773">
        <f>J17</f>
        <v>100</v>
      </c>
      <c r="X17" s="1814"/>
      <c r="Y17" s="3275"/>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1"/>
      <c r="M18" s="1132"/>
      <c r="N18" s="1132"/>
      <c r="O18" s="1140"/>
      <c r="P18" s="3275"/>
      <c r="Q18" s="1811"/>
      <c r="R18" s="772"/>
      <c r="S18" s="773"/>
      <c r="T18" s="772"/>
      <c r="U18" s="773"/>
      <c r="V18" s="772"/>
      <c r="W18" s="773"/>
      <c r="X18" s="1814"/>
      <c r="Y18" s="3275"/>
      <c r="Z18" s="1815"/>
      <c r="AA18" s="1812">
        <v>1</v>
      </c>
      <c r="AB18" s="1812">
        <v>1</v>
      </c>
      <c r="AC18" s="1812">
        <v>1</v>
      </c>
    </row>
    <row r="19" spans="1:29" ht="42.75">
      <c r="A19" s="428"/>
      <c r="B19" s="451" t="s">
        <v>2683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75"/>
      <c r="Q19" s="1811" t="str">
        <f>B19</f>
        <v>公共配套设施</v>
      </c>
      <c r="R19" s="772" t="s">
        <v>17</v>
      </c>
      <c r="S19" s="773">
        <f>F19</f>
        <v>100</v>
      </c>
      <c r="T19" s="772" t="s">
        <v>17</v>
      </c>
      <c r="U19" s="773">
        <f>H19</f>
        <v>100</v>
      </c>
      <c r="V19" s="772" t="s">
        <v>17</v>
      </c>
      <c r="W19" s="773">
        <f>J19</f>
        <v>100</v>
      </c>
      <c r="X19" s="1814"/>
      <c r="Y19" s="3275"/>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1"/>
      <c r="M20" s="1132"/>
      <c r="N20" s="1132"/>
      <c r="O20" s="1140"/>
      <c r="P20" s="3275"/>
      <c r="Q20" s="1811"/>
      <c r="R20" s="772"/>
      <c r="S20" s="773"/>
      <c r="T20" s="772"/>
      <c r="U20" s="773"/>
      <c r="V20" s="772"/>
      <c r="W20" s="773"/>
      <c r="X20" s="1814"/>
      <c r="Y20" s="3275"/>
      <c r="Z20" s="1815"/>
      <c r="AA20" s="1812">
        <v>1</v>
      </c>
      <c r="AB20" s="1812">
        <v>1</v>
      </c>
      <c r="AC20" s="1812">
        <v>1</v>
      </c>
    </row>
    <row r="21" spans="1:29" ht="28.5">
      <c r="A21" s="428"/>
      <c r="B21" s="1385" t="s">
        <v>2684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75"/>
      <c r="Q21" s="1811" t="str">
        <f>B21</f>
        <v>基础设施水平</v>
      </c>
      <c r="R21" s="772" t="s">
        <v>17</v>
      </c>
      <c r="S21" s="773">
        <f>F21</f>
        <v>100</v>
      </c>
      <c r="T21" s="772" t="s">
        <v>17</v>
      </c>
      <c r="U21" s="773">
        <f>H21</f>
        <v>100</v>
      </c>
      <c r="V21" s="772" t="s">
        <v>17</v>
      </c>
      <c r="W21" s="773">
        <f>J21</f>
        <v>100</v>
      </c>
      <c r="X21" s="1814"/>
      <c r="Y21" s="3275"/>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9"/>
      <c r="G22" s="447"/>
      <c r="H22" s="448"/>
      <c r="I22" s="447"/>
      <c r="J22" s="448"/>
      <c r="K22" s="1384"/>
      <c r="L22" s="1141"/>
      <c r="M22" s="1132"/>
      <c r="N22" s="1132"/>
      <c r="O22" s="1140"/>
      <c r="P22" s="3275"/>
      <c r="Q22" s="1811"/>
      <c r="R22" s="772"/>
      <c r="S22" s="773"/>
      <c r="T22" s="772"/>
      <c r="U22" s="773"/>
      <c r="V22" s="772"/>
      <c r="W22" s="773"/>
      <c r="X22" s="1814"/>
      <c r="Y22" s="3275"/>
      <c r="Z22" s="1815"/>
      <c r="AA22" s="1812">
        <v>1</v>
      </c>
      <c r="AB22" s="1812">
        <v>1</v>
      </c>
      <c r="AC22" s="1812">
        <v>1</v>
      </c>
    </row>
    <row r="23" spans="1:29" ht="71.25">
      <c r="A23" s="428"/>
      <c r="B23" s="451" t="s">
        <v>2685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75"/>
      <c r="Q23" s="1811" t="str">
        <f>B23</f>
        <v>环境质量</v>
      </c>
      <c r="R23" s="772" t="s">
        <v>17</v>
      </c>
      <c r="S23" s="773">
        <f>F23</f>
        <v>100</v>
      </c>
      <c r="T23" s="772" t="s">
        <v>17</v>
      </c>
      <c r="U23" s="773">
        <f>H23</f>
        <v>100</v>
      </c>
      <c r="V23" s="772" t="s">
        <v>17</v>
      </c>
      <c r="W23" s="773">
        <f>J23</f>
        <v>100</v>
      </c>
      <c r="X23" s="1814"/>
      <c r="Y23" s="3275"/>
      <c r="Z23" s="1815" t="str">
        <f>Q23</f>
        <v>环境质量</v>
      </c>
      <c r="AA23" s="1812">
        <f t="shared" si="3"/>
        <v>1</v>
      </c>
      <c r="AB23" s="1812">
        <f t="shared" si="4"/>
        <v>1</v>
      </c>
      <c r="AC23" s="1812">
        <f t="shared" si="5"/>
        <v>1</v>
      </c>
    </row>
    <row r="24" spans="1:29" ht="15">
      <c r="A24" s="428"/>
      <c r="B24" s="1385"/>
      <c r="C24" s="447"/>
      <c r="D24" s="448"/>
      <c r="E24" s="2608"/>
      <c r="F24" s="449"/>
      <c r="G24" s="2607"/>
      <c r="H24" s="448"/>
      <c r="I24" s="2608"/>
      <c r="J24" s="448"/>
      <c r="K24" s="615"/>
      <c r="L24" s="1141"/>
      <c r="M24" s="1132"/>
      <c r="N24" s="1132"/>
      <c r="O24" s="1140"/>
      <c r="P24" s="3275"/>
      <c r="Q24" s="1811"/>
      <c r="R24" s="772"/>
      <c r="S24" s="773"/>
      <c r="T24" s="772"/>
      <c r="U24" s="773"/>
      <c r="V24" s="772"/>
      <c r="W24" s="773"/>
      <c r="X24" s="1814"/>
      <c r="Y24" s="3275"/>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75"/>
      <c r="Q25" s="1811">
        <f>B25</f>
        <v>111</v>
      </c>
      <c r="R25" s="772" t="s">
        <v>17</v>
      </c>
      <c r="S25" s="773">
        <f>F25</f>
        <v>100</v>
      </c>
      <c r="T25" s="772" t="s">
        <v>17</v>
      </c>
      <c r="U25" s="773">
        <f>H25</f>
        <v>100</v>
      </c>
      <c r="V25" s="772" t="s">
        <v>17</v>
      </c>
      <c r="W25" s="773">
        <f>J25</f>
        <v>100</v>
      </c>
      <c r="X25" s="1814"/>
      <c r="Y25" s="3275"/>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75"/>
      <c r="Q26" s="1811">
        <f t="shared" ref="Q26:Q40" si="11">B26</f>
        <v>111</v>
      </c>
      <c r="R26" s="772" t="s">
        <v>17</v>
      </c>
      <c r="S26" s="773">
        <f>F26</f>
        <v>100</v>
      </c>
      <c r="T26" s="772" t="s">
        <v>17</v>
      </c>
      <c r="U26" s="773">
        <f>H26</f>
        <v>100</v>
      </c>
      <c r="V26" s="772" t="s">
        <v>17</v>
      </c>
      <c r="W26" s="773">
        <f>J26</f>
        <v>100</v>
      </c>
      <c r="X26" s="1814"/>
      <c r="Y26" s="3275"/>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75"/>
      <c r="Q27" s="1796">
        <f t="shared" si="11"/>
        <v>111</v>
      </c>
      <c r="R27" s="768" t="s">
        <v>17</v>
      </c>
      <c r="S27" s="769">
        <f>F27</f>
        <v>100</v>
      </c>
      <c r="T27" s="768" t="s">
        <v>17</v>
      </c>
      <c r="U27" s="769">
        <f>H27</f>
        <v>100</v>
      </c>
      <c r="V27" s="768" t="s">
        <v>17</v>
      </c>
      <c r="W27" s="769">
        <f>J27</f>
        <v>100</v>
      </c>
      <c r="X27" s="770"/>
      <c r="Y27" s="3275"/>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75"/>
      <c r="Q28" s="1811">
        <f t="shared" si="11"/>
        <v>111</v>
      </c>
      <c r="R28" s="772" t="s">
        <v>17</v>
      </c>
      <c r="S28" s="773">
        <f t="shared" ref="S28:S40" si="12">F28</f>
        <v>100</v>
      </c>
      <c r="T28" s="772" t="s">
        <v>17</v>
      </c>
      <c r="U28" s="773">
        <f t="shared" ref="U28:U40" si="13">H28</f>
        <v>100</v>
      </c>
      <c r="V28" s="772" t="s">
        <v>17</v>
      </c>
      <c r="W28" s="773">
        <f t="shared" ref="W28:W40" si="14">J28</f>
        <v>100</v>
      </c>
      <c r="X28" s="1814"/>
      <c r="Y28" s="3275"/>
      <c r="Z28" s="1815">
        <f t="shared" ref="Z28:Z40" si="15">Q28</f>
        <v>111</v>
      </c>
      <c r="AA28" s="1812">
        <f t="shared" si="3"/>
        <v>1</v>
      </c>
      <c r="AB28" s="1812">
        <f t="shared" si="4"/>
        <v>1</v>
      </c>
      <c r="AC28" s="1812">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329" t="s">
        <v>2560</v>
      </c>
      <c r="Q29" s="1811" t="str">
        <f t="shared" si="11"/>
        <v>建筑类型</v>
      </c>
      <c r="R29" s="772" t="s">
        <v>17</v>
      </c>
      <c r="S29" s="773">
        <f t="shared" si="12"/>
        <v>100</v>
      </c>
      <c r="T29" s="772" t="s">
        <v>17</v>
      </c>
      <c r="U29" s="773">
        <f t="shared" si="13"/>
        <v>100</v>
      </c>
      <c r="V29" s="772" t="s">
        <v>17</v>
      </c>
      <c r="W29" s="773">
        <f t="shared" si="14"/>
        <v>100</v>
      </c>
      <c r="X29" s="1814"/>
      <c r="Y29" s="3279"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79"/>
      <c r="Q30" s="774" t="str">
        <f t="shared" si="11"/>
        <v>项目建筑规模</v>
      </c>
      <c r="R30" s="775" t="s">
        <v>17</v>
      </c>
      <c r="S30" s="776" t="e">
        <f t="shared" si="12"/>
        <v>#N/A</v>
      </c>
      <c r="T30" s="775" t="s">
        <v>17</v>
      </c>
      <c r="U30" s="776" t="e">
        <f t="shared" si="13"/>
        <v>#N/A</v>
      </c>
      <c r="V30" s="775" t="s">
        <v>17</v>
      </c>
      <c r="W30" s="776" t="e">
        <f t="shared" si="14"/>
        <v>#N/A</v>
      </c>
      <c r="X30" s="777"/>
      <c r="Y30" s="3279"/>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79"/>
      <c r="Q31" s="1811" t="str">
        <f t="shared" si="11"/>
        <v>建筑结构</v>
      </c>
      <c r="R31" s="772" t="s">
        <v>17</v>
      </c>
      <c r="S31" s="773">
        <f t="shared" si="12"/>
        <v>100</v>
      </c>
      <c r="T31" s="772" t="s">
        <v>17</v>
      </c>
      <c r="U31" s="773">
        <f t="shared" si="13"/>
        <v>100</v>
      </c>
      <c r="V31" s="772" t="s">
        <v>17</v>
      </c>
      <c r="W31" s="773">
        <f t="shared" si="14"/>
        <v>100</v>
      </c>
      <c r="X31" s="1814"/>
      <c r="Y31" s="3279"/>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79"/>
      <c r="Q32" s="1811" t="str">
        <f t="shared" si="11"/>
        <v>公共部分装修</v>
      </c>
      <c r="R32" s="772" t="s">
        <v>17</v>
      </c>
      <c r="S32" s="773">
        <f t="shared" si="12"/>
        <v>100</v>
      </c>
      <c r="T32" s="772" t="s">
        <v>17</v>
      </c>
      <c r="U32" s="773">
        <f t="shared" si="13"/>
        <v>100</v>
      </c>
      <c r="V32" s="772" t="s">
        <v>17</v>
      </c>
      <c r="W32" s="773">
        <f t="shared" si="14"/>
        <v>100</v>
      </c>
      <c r="X32" s="1814"/>
      <c r="Y32" s="3279"/>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79"/>
      <c r="Q33" s="1811" t="str">
        <f t="shared" si="11"/>
        <v>成新度</v>
      </c>
      <c r="R33" s="772" t="s">
        <v>17</v>
      </c>
      <c r="S33" s="773" t="e">
        <f t="shared" si="12"/>
        <v>#N/A</v>
      </c>
      <c r="T33" s="772" t="s">
        <v>17</v>
      </c>
      <c r="U33" s="773" t="e">
        <f t="shared" si="13"/>
        <v>#N/A</v>
      </c>
      <c r="V33" s="772" t="s">
        <v>17</v>
      </c>
      <c r="W33" s="773" t="e">
        <f t="shared" si="14"/>
        <v>#N/A</v>
      </c>
      <c r="X33" s="1814"/>
      <c r="Y33" s="3279"/>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79"/>
      <c r="Q34" s="1796" t="str">
        <f t="shared" si="11"/>
        <v>物业管理</v>
      </c>
      <c r="R34" s="768" t="s">
        <v>17</v>
      </c>
      <c r="S34" s="769">
        <f t="shared" si="12"/>
        <v>100</v>
      </c>
      <c r="T34" s="768" t="s">
        <v>17</v>
      </c>
      <c r="U34" s="769">
        <f t="shared" si="13"/>
        <v>100</v>
      </c>
      <c r="V34" s="768" t="s">
        <v>17</v>
      </c>
      <c r="W34" s="769">
        <f t="shared" si="14"/>
        <v>100</v>
      </c>
      <c r="X34" s="770"/>
      <c r="Y34" s="3279"/>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79" t="s">
        <v>2560</v>
      </c>
      <c r="Q35" s="1811" t="str">
        <f t="shared" si="11"/>
        <v>市政基础设施</v>
      </c>
      <c r="R35" s="772" t="s">
        <v>17</v>
      </c>
      <c r="S35" s="773">
        <f t="shared" si="12"/>
        <v>100</v>
      </c>
      <c r="T35" s="772" t="s">
        <v>17</v>
      </c>
      <c r="U35" s="773">
        <f t="shared" si="13"/>
        <v>100</v>
      </c>
      <c r="V35" s="772" t="s">
        <v>17</v>
      </c>
      <c r="W35" s="773">
        <f t="shared" si="14"/>
        <v>100</v>
      </c>
      <c r="X35" s="1814"/>
      <c r="Y35" s="3279"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79"/>
      <c r="Q36" s="1811" t="str">
        <f t="shared" si="11"/>
        <v>内部装修</v>
      </c>
      <c r="R36" s="772" t="s">
        <v>17</v>
      </c>
      <c r="S36" s="773">
        <f t="shared" si="12"/>
        <v>100</v>
      </c>
      <c r="T36" s="772" t="s">
        <v>17</v>
      </c>
      <c r="U36" s="773">
        <f t="shared" si="13"/>
        <v>100</v>
      </c>
      <c r="V36" s="772" t="s">
        <v>17</v>
      </c>
      <c r="W36" s="773">
        <f t="shared" si="14"/>
        <v>100</v>
      </c>
      <c r="X36" s="1814"/>
      <c r="Y36" s="3279"/>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79"/>
      <c r="Q37" s="1811" t="str">
        <f t="shared" si="11"/>
        <v>内部装修状况</v>
      </c>
      <c r="R37" s="772" t="s">
        <v>17</v>
      </c>
      <c r="S37" s="773">
        <f t="shared" si="12"/>
        <v>100</v>
      </c>
      <c r="T37" s="772" t="s">
        <v>17</v>
      </c>
      <c r="U37" s="773">
        <f t="shared" si="13"/>
        <v>100</v>
      </c>
      <c r="V37" s="772" t="s">
        <v>17</v>
      </c>
      <c r="W37" s="773">
        <f t="shared" si="14"/>
        <v>100</v>
      </c>
      <c r="X37" s="1814"/>
      <c r="Y37" s="3279"/>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79"/>
      <c r="Q38" s="774">
        <f t="shared" si="11"/>
        <v>111</v>
      </c>
      <c r="R38" s="775" t="s">
        <v>17</v>
      </c>
      <c r="S38" s="776">
        <f t="shared" si="12"/>
        <v>100</v>
      </c>
      <c r="T38" s="775" t="s">
        <v>17</v>
      </c>
      <c r="U38" s="776">
        <f t="shared" si="13"/>
        <v>100</v>
      </c>
      <c r="V38" s="775" t="s">
        <v>17</v>
      </c>
      <c r="W38" s="776">
        <f t="shared" si="14"/>
        <v>100</v>
      </c>
      <c r="X38" s="777"/>
      <c r="Y38" s="3279"/>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79"/>
      <c r="Q39" s="1811">
        <f t="shared" si="11"/>
        <v>111</v>
      </c>
      <c r="R39" s="772" t="s">
        <v>17</v>
      </c>
      <c r="S39" s="773">
        <f t="shared" si="12"/>
        <v>100</v>
      </c>
      <c r="T39" s="772" t="s">
        <v>17</v>
      </c>
      <c r="U39" s="773">
        <f t="shared" si="13"/>
        <v>100</v>
      </c>
      <c r="V39" s="772" t="s">
        <v>17</v>
      </c>
      <c r="W39" s="773">
        <f t="shared" si="14"/>
        <v>100</v>
      </c>
      <c r="X39" s="1814"/>
      <c r="Y39" s="3279"/>
      <c r="Z39" s="1815">
        <f t="shared" si="15"/>
        <v>111</v>
      </c>
      <c r="AA39" s="1812">
        <f t="shared" si="3"/>
        <v>1</v>
      </c>
      <c r="AB39" s="1812">
        <f t="shared" si="4"/>
        <v>1</v>
      </c>
      <c r="AC39" s="1812">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80"/>
      <c r="Q40" s="1811">
        <f t="shared" si="11"/>
        <v>111</v>
      </c>
      <c r="R40" s="772" t="s">
        <v>17</v>
      </c>
      <c r="S40" s="773">
        <f t="shared" si="12"/>
        <v>100</v>
      </c>
      <c r="T40" s="772" t="s">
        <v>17</v>
      </c>
      <c r="U40" s="773">
        <f t="shared" si="13"/>
        <v>100</v>
      </c>
      <c r="V40" s="772" t="s">
        <v>17</v>
      </c>
      <c r="W40" s="773">
        <f t="shared" si="14"/>
        <v>100</v>
      </c>
      <c r="X40" s="1814"/>
      <c r="Y40" s="3280"/>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281" t="str">
        <f>A41</f>
        <v>成交单价（元/平方米）</v>
      </c>
      <c r="Q41" s="3281"/>
      <c r="R41" s="3282">
        <f>E41</f>
        <v>0</v>
      </c>
      <c r="S41" s="3282"/>
      <c r="T41" s="3282">
        <f>G41</f>
        <v>0</v>
      </c>
      <c r="U41" s="3282"/>
      <c r="V41" s="3282">
        <f>I41</f>
        <v>0</v>
      </c>
      <c r="W41" s="3282"/>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283" t="str">
        <f>A43</f>
        <v>估价对象XX用房的比较价值（楼面单价，元/平方米）</v>
      </c>
      <c r="Q43" s="3284"/>
      <c r="R43" s="3285" t="e">
        <f>IF(F1="售价",ROUND(AVERAGE(R42:V42),0),ROUND(AVERAGE(R42:V42),1))</f>
        <v>#DIV/0!</v>
      </c>
      <c r="S43" s="3285"/>
      <c r="T43" s="3285"/>
      <c r="U43" s="3285"/>
      <c r="V43" s="3285"/>
      <c r="W43" s="3285"/>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7"/>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2" t="s">
        <v>2538</v>
      </c>
      <c r="F5" s="3249"/>
      <c r="G5" s="3250" t="s">
        <v>2539</v>
      </c>
      <c r="H5" s="3251"/>
      <c r="I5" s="3250" t="s">
        <v>2540</v>
      </c>
      <c r="J5" s="3251"/>
      <c r="K5" s="610"/>
      <c r="L5" s="1131"/>
      <c r="M5" s="1132"/>
      <c r="N5" s="1132"/>
      <c r="O5" s="1132"/>
      <c r="P5" s="3265"/>
      <c r="Q5" s="3266"/>
      <c r="R5" s="3246"/>
      <c r="S5" s="3247"/>
      <c r="T5" s="3246"/>
      <c r="U5" s="3247"/>
      <c r="V5" s="3241"/>
      <c r="W5" s="3241"/>
      <c r="X5" s="1814"/>
      <c r="Y5" s="3246"/>
      <c r="Z5" s="3247"/>
      <c r="AA5" s="3239"/>
      <c r="AB5" s="3239"/>
      <c r="AC5" s="3239"/>
    </row>
    <row r="6" spans="1:29" ht="15.75" thickBot="1">
      <c r="A6" s="406"/>
      <c r="B6" s="407"/>
      <c r="C6" s="3252" t="s">
        <v>2541</v>
      </c>
      <c r="D6" s="3253"/>
      <c r="E6" s="3313" t="s">
        <v>2541</v>
      </c>
      <c r="F6" s="3256"/>
      <c r="G6" s="3252" t="s">
        <v>2541</v>
      </c>
      <c r="H6" s="3253"/>
      <c r="I6" s="3252" t="s">
        <v>2541</v>
      </c>
      <c r="J6" s="3253"/>
      <c r="K6" s="610" t="s">
        <v>2542</v>
      </c>
      <c r="L6" s="1131"/>
      <c r="M6" s="1132"/>
      <c r="N6" s="1132"/>
      <c r="O6" s="1132"/>
      <c r="P6" s="3267"/>
      <c r="Q6" s="3268"/>
      <c r="R6" s="3246"/>
      <c r="S6" s="3247"/>
      <c r="T6" s="3269"/>
      <c r="U6" s="3270"/>
      <c r="V6" s="3241"/>
      <c r="W6" s="3241"/>
      <c r="X6" s="1814"/>
      <c r="Y6" s="3269"/>
      <c r="Z6" s="3270"/>
      <c r="AA6" s="3240"/>
      <c r="AB6" s="3240"/>
      <c r="AC6" s="3240"/>
    </row>
    <row r="7" spans="1:29" s="117" customFormat="1" ht="15.75" thickBot="1">
      <c r="A7" s="408" t="s">
        <v>2543</v>
      </c>
      <c r="B7" s="409"/>
      <c r="C7" s="410">
        <f>'数据-取费表'!B2</f>
        <v>43251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2" t="s">
        <v>2544</v>
      </c>
      <c r="Q7" s="3271"/>
      <c r="R7" s="768" t="s">
        <v>17</v>
      </c>
      <c r="S7" s="769">
        <f t="shared" ref="S7:S14" si="0">F7</f>
        <v>0</v>
      </c>
      <c r="T7" s="768" t="s">
        <v>17</v>
      </c>
      <c r="U7" s="769">
        <f t="shared" ref="U7:U14" si="1">H7</f>
        <v>0</v>
      </c>
      <c r="V7" s="768" t="s">
        <v>17</v>
      </c>
      <c r="W7" s="769">
        <f t="shared" ref="W7:W14" si="2">J7</f>
        <v>0</v>
      </c>
      <c r="X7" s="770"/>
      <c r="Y7" s="3242" t="s">
        <v>2544</v>
      </c>
      <c r="Z7" s="3243"/>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81" t="s">
        <v>2550</v>
      </c>
      <c r="Q9" s="1796" t="str">
        <f t="shared" ref="Q9:Q14" si="6">B9</f>
        <v>用途</v>
      </c>
      <c r="R9" s="768" t="s">
        <v>17</v>
      </c>
      <c r="S9" s="769">
        <f t="shared" si="0"/>
        <v>100</v>
      </c>
      <c r="T9" s="768" t="s">
        <v>17</v>
      </c>
      <c r="U9" s="769">
        <f t="shared" si="1"/>
        <v>100</v>
      </c>
      <c r="V9" s="768" t="s">
        <v>17</v>
      </c>
      <c r="W9" s="769">
        <f t="shared" si="2"/>
        <v>100</v>
      </c>
      <c r="X9" s="770"/>
      <c r="Y9" s="3115"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81"/>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81"/>
      <c r="Q11" s="1796">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81"/>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81"/>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85.5">
      <c r="A14" s="401" t="s">
        <v>2554</v>
      </c>
      <c r="B14" s="629" t="s">
        <v>2704</v>
      </c>
      <c r="C14" s="2696" t="str">
        <f>IF(B1="工业",估价对象房地状况!G4,估价对象房地状况!C6)</f>
        <v>周边有28、53、621、638路等多条公交线路及地铁10、14号线经过，交通便捷度较好。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74" t="s">
        <v>2555</v>
      </c>
      <c r="Q14" s="1811" t="str">
        <f t="shared" si="6"/>
        <v>交通便捷度</v>
      </c>
      <c r="R14" s="772" t="s">
        <v>17</v>
      </c>
      <c r="S14" s="773">
        <f t="shared" si="0"/>
        <v>100</v>
      </c>
      <c r="T14" s="772" t="s">
        <v>17</v>
      </c>
      <c r="U14" s="773">
        <f t="shared" si="1"/>
        <v>100</v>
      </c>
      <c r="V14" s="772" t="s">
        <v>17</v>
      </c>
      <c r="W14" s="773">
        <f t="shared" si="2"/>
        <v>100</v>
      </c>
      <c r="X14" s="1814"/>
      <c r="Y14" s="3274"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75"/>
      <c r="Q15" s="1811"/>
      <c r="R15" s="772"/>
      <c r="S15" s="773"/>
      <c r="T15" s="772"/>
      <c r="U15" s="773"/>
      <c r="V15" s="772"/>
      <c r="W15" s="773"/>
      <c r="X15" s="1814"/>
      <c r="Y15" s="3275"/>
      <c r="Z15" s="1815"/>
      <c r="AA15" s="1812">
        <v>1</v>
      </c>
      <c r="AB15" s="1812">
        <v>1</v>
      </c>
      <c r="AC15" s="1812">
        <v>1</v>
      </c>
    </row>
    <row r="16" spans="1:29" ht="85.5">
      <c r="A16" s="404"/>
      <c r="B16" s="631" t="s">
        <v>2683</v>
      </c>
      <c r="C16" s="2610" t="str">
        <f>IF(B1="工业",估价对象房地状况!G5,估价对象房地状况!C7)</f>
        <v>周边有汉华购物中心、晓慧便民超市、北京中山医院等，公共服务配套设施齐备度较好。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75"/>
      <c r="Q16" s="1811" t="str">
        <f>B16</f>
        <v>公共配套设施</v>
      </c>
      <c r="R16" s="772" t="s">
        <v>17</v>
      </c>
      <c r="S16" s="773">
        <f>F16</f>
        <v>100</v>
      </c>
      <c r="T16" s="772" t="s">
        <v>17</v>
      </c>
      <c r="U16" s="773">
        <f>H16</f>
        <v>100</v>
      </c>
      <c r="V16" s="772" t="s">
        <v>17</v>
      </c>
      <c r="W16" s="773">
        <f>J16</f>
        <v>100</v>
      </c>
      <c r="X16" s="1814"/>
      <c r="Y16" s="3275"/>
      <c r="Z16" s="1815" t="str">
        <f>Q16</f>
        <v>公共配套设施</v>
      </c>
      <c r="AA16" s="1812">
        <f t="shared" si="3"/>
        <v>1</v>
      </c>
      <c r="AB16" s="1812">
        <f t="shared" si="4"/>
        <v>1</v>
      </c>
      <c r="AC16" s="1812">
        <f t="shared" si="5"/>
        <v>1</v>
      </c>
    </row>
    <row r="17" spans="1:29" ht="15">
      <c r="A17" s="404"/>
      <c r="B17" s="632"/>
      <c r="C17" s="2611"/>
      <c r="D17" s="448"/>
      <c r="E17" s="447"/>
      <c r="F17" s="449"/>
      <c r="G17" s="447"/>
      <c r="H17" s="448"/>
      <c r="I17" s="447"/>
      <c r="J17" s="448"/>
      <c r="K17" s="615"/>
      <c r="L17" s="1141"/>
      <c r="M17" s="1132"/>
      <c r="N17" s="1132"/>
      <c r="O17" s="1132"/>
      <c r="P17" s="3275"/>
      <c r="Q17" s="1811"/>
      <c r="R17" s="772"/>
      <c r="S17" s="773"/>
      <c r="T17" s="772"/>
      <c r="U17" s="773"/>
      <c r="V17" s="772"/>
      <c r="W17" s="773"/>
      <c r="X17" s="1814"/>
      <c r="Y17" s="3275"/>
      <c r="Z17" s="1815"/>
      <c r="AA17" s="1812">
        <v>1</v>
      </c>
      <c r="AB17" s="1812">
        <v>1</v>
      </c>
      <c r="AC17" s="1812">
        <v>1</v>
      </c>
    </row>
    <row r="18" spans="1:29" ht="42.75">
      <c r="A18" s="404"/>
      <c r="B18" s="633" t="s">
        <v>2684</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75"/>
      <c r="Q18" s="1811" t="str">
        <f>B18</f>
        <v>基础设施水平</v>
      </c>
      <c r="R18" s="772" t="s">
        <v>17</v>
      </c>
      <c r="S18" s="773">
        <f>F18</f>
        <v>100</v>
      </c>
      <c r="T18" s="772" t="s">
        <v>17</v>
      </c>
      <c r="U18" s="773">
        <f>H18</f>
        <v>100</v>
      </c>
      <c r="V18" s="772" t="s">
        <v>17</v>
      </c>
      <c r="W18" s="773">
        <f>J18</f>
        <v>100</v>
      </c>
      <c r="X18" s="1814"/>
      <c r="Y18" s="3275"/>
      <c r="Z18" s="1815" t="str">
        <f>Q18</f>
        <v>基础设施水平</v>
      </c>
      <c r="AA18" s="1812">
        <f t="shared" ref="AA18" si="8">D18/F18</f>
        <v>1</v>
      </c>
      <c r="AB18" s="1812">
        <f t="shared" ref="AB18" si="9">D18/H18</f>
        <v>1</v>
      </c>
      <c r="AC18" s="1812">
        <f t="shared" ref="AC18" si="10">D18/J18</f>
        <v>1</v>
      </c>
    </row>
    <row r="19" spans="1:29" ht="15">
      <c r="A19" s="404"/>
      <c r="B19" s="633"/>
      <c r="C19" s="2611"/>
      <c r="D19" s="450"/>
      <c r="E19" s="2611"/>
      <c r="F19" s="453"/>
      <c r="G19" s="2611"/>
      <c r="H19" s="448"/>
      <c r="I19" s="447"/>
      <c r="J19" s="448"/>
      <c r="K19" s="1384"/>
      <c r="L19" s="1141"/>
      <c r="M19" s="1132"/>
      <c r="N19" s="1132"/>
      <c r="O19" s="1132"/>
      <c r="P19" s="3275"/>
      <c r="Q19" s="1811"/>
      <c r="R19" s="772"/>
      <c r="S19" s="773"/>
      <c r="T19" s="772"/>
      <c r="U19" s="773"/>
      <c r="V19" s="772"/>
      <c r="W19" s="773"/>
      <c r="X19" s="1814"/>
      <c r="Y19" s="3275"/>
      <c r="Z19" s="1815"/>
      <c r="AA19" s="1812">
        <v>1</v>
      </c>
      <c r="AB19" s="1812">
        <v>1</v>
      </c>
      <c r="AC19" s="1812">
        <v>1</v>
      </c>
    </row>
    <row r="20" spans="1:29" ht="85.5">
      <c r="A20" s="404"/>
      <c r="B20" s="631" t="s">
        <v>2705</v>
      </c>
      <c r="C20" s="2610" t="str">
        <f>IF(B1="工业",估价对象房地状况!G7,估价对象房地状况!C9)</f>
        <v>周边2公里内有龙潭湖、北京工业大学等，周边无大型污染源，综合考虑自然及人文环境较好。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75"/>
      <c r="Q20" s="1811" t="str">
        <f>B20</f>
        <v>自然及人文环境</v>
      </c>
      <c r="R20" s="772" t="s">
        <v>17</v>
      </c>
      <c r="S20" s="773">
        <f>F20</f>
        <v>100</v>
      </c>
      <c r="T20" s="772" t="s">
        <v>17</v>
      </c>
      <c r="U20" s="773">
        <f>H20</f>
        <v>100</v>
      </c>
      <c r="V20" s="772" t="s">
        <v>17</v>
      </c>
      <c r="W20" s="773">
        <f>J20</f>
        <v>100</v>
      </c>
      <c r="X20" s="1814"/>
      <c r="Y20" s="327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75"/>
      <c r="Q21" s="1811"/>
      <c r="R21" s="772"/>
      <c r="S21" s="773"/>
      <c r="T21" s="772"/>
      <c r="U21" s="773"/>
      <c r="V21" s="772"/>
      <c r="W21" s="773"/>
      <c r="X21" s="1814"/>
      <c r="Y21" s="3275"/>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75"/>
      <c r="Q22" s="1811" t="str">
        <f>B22</f>
        <v>楼层</v>
      </c>
      <c r="R22" s="772" t="s">
        <v>17</v>
      </c>
      <c r="S22" s="773">
        <f>F22</f>
        <v>100</v>
      </c>
      <c r="T22" s="772" t="s">
        <v>17</v>
      </c>
      <c r="U22" s="773">
        <f>H22</f>
        <v>100</v>
      </c>
      <c r="V22" s="772" t="s">
        <v>17</v>
      </c>
      <c r="W22" s="773">
        <f>J22</f>
        <v>100</v>
      </c>
      <c r="X22" s="1814"/>
      <c r="Y22" s="327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75"/>
      <c r="Q23" s="1811">
        <f>B23</f>
        <v>111</v>
      </c>
      <c r="R23" s="772" t="s">
        <v>17</v>
      </c>
      <c r="S23" s="773">
        <f>F23</f>
        <v>100</v>
      </c>
      <c r="T23" s="772" t="s">
        <v>17</v>
      </c>
      <c r="U23" s="773">
        <f>H23</f>
        <v>100</v>
      </c>
      <c r="V23" s="772" t="s">
        <v>17</v>
      </c>
      <c r="W23" s="773">
        <f>J23</f>
        <v>100</v>
      </c>
      <c r="X23" s="1814"/>
      <c r="Y23" s="327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75"/>
      <c r="Q24" s="1811">
        <f t="shared" ref="Q24:Q36" si="11">B24</f>
        <v>111</v>
      </c>
      <c r="R24" s="772" t="s">
        <v>17</v>
      </c>
      <c r="S24" s="773">
        <f>F24</f>
        <v>100</v>
      </c>
      <c r="T24" s="772" t="s">
        <v>17</v>
      </c>
      <c r="U24" s="773">
        <f>H24</f>
        <v>100</v>
      </c>
      <c r="V24" s="772" t="s">
        <v>17</v>
      </c>
      <c r="W24" s="773">
        <f>J24</f>
        <v>100</v>
      </c>
      <c r="X24" s="1814"/>
      <c r="Y24" s="327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75"/>
      <c r="Q25" s="1796">
        <f t="shared" si="11"/>
        <v>111</v>
      </c>
      <c r="R25" s="768" t="s">
        <v>17</v>
      </c>
      <c r="S25" s="769">
        <f>F25</f>
        <v>100</v>
      </c>
      <c r="T25" s="768" t="s">
        <v>17</v>
      </c>
      <c r="U25" s="769">
        <f>H25</f>
        <v>100</v>
      </c>
      <c r="V25" s="768" t="s">
        <v>17</v>
      </c>
      <c r="W25" s="769">
        <f>J25</f>
        <v>100</v>
      </c>
      <c r="X25" s="770"/>
      <c r="Y25" s="3275"/>
      <c r="Z25" s="55">
        <f>Q25</f>
        <v>111</v>
      </c>
      <c r="AA25" s="1812">
        <f>D25/F25</f>
        <v>1</v>
      </c>
      <c r="AB25" s="1812">
        <f>D25/H25</f>
        <v>1</v>
      </c>
      <c r="AC25" s="1812">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29"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79"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79"/>
      <c r="Q27" s="774" t="str">
        <f t="shared" si="11"/>
        <v>项目停车位配比</v>
      </c>
      <c r="R27" s="775" t="s">
        <v>17</v>
      </c>
      <c r="S27" s="776">
        <f t="shared" si="12"/>
        <v>100</v>
      </c>
      <c r="T27" s="775" t="s">
        <v>17</v>
      </c>
      <c r="U27" s="776">
        <f t="shared" si="13"/>
        <v>100</v>
      </c>
      <c r="V27" s="775" t="s">
        <v>17</v>
      </c>
      <c r="W27" s="776">
        <f t="shared" si="14"/>
        <v>100</v>
      </c>
      <c r="X27" s="777"/>
      <c r="Y27" s="3279"/>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79"/>
      <c r="Q28" s="1811" t="str">
        <f t="shared" si="11"/>
        <v>公共部分装修</v>
      </c>
      <c r="R28" s="772" t="s">
        <v>17</v>
      </c>
      <c r="S28" s="773">
        <f t="shared" si="12"/>
        <v>100</v>
      </c>
      <c r="T28" s="772" t="s">
        <v>17</v>
      </c>
      <c r="U28" s="773">
        <f t="shared" si="13"/>
        <v>100</v>
      </c>
      <c r="V28" s="772" t="s">
        <v>17</v>
      </c>
      <c r="W28" s="773">
        <f t="shared" si="14"/>
        <v>100</v>
      </c>
      <c r="X28" s="1814"/>
      <c r="Y28" s="3279"/>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79"/>
      <c r="Q29" s="1811" t="str">
        <f t="shared" si="11"/>
        <v>成新率</v>
      </c>
      <c r="R29" s="772" t="s">
        <v>17</v>
      </c>
      <c r="S29" s="773" t="e">
        <f t="shared" si="12"/>
        <v>#N/A</v>
      </c>
      <c r="T29" s="772" t="s">
        <v>17</v>
      </c>
      <c r="U29" s="773" t="e">
        <f t="shared" si="13"/>
        <v>#N/A</v>
      </c>
      <c r="V29" s="772" t="s">
        <v>17</v>
      </c>
      <c r="W29" s="773" t="e">
        <f t="shared" si="14"/>
        <v>#N/A</v>
      </c>
      <c r="X29" s="1814"/>
      <c r="Y29" s="3279"/>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79"/>
      <c r="Q30" s="1811" t="str">
        <f t="shared" si="11"/>
        <v>物业等级</v>
      </c>
      <c r="R30" s="772" t="s">
        <v>17</v>
      </c>
      <c r="S30" s="773">
        <f t="shared" si="12"/>
        <v>100</v>
      </c>
      <c r="T30" s="772" t="s">
        <v>17</v>
      </c>
      <c r="U30" s="773">
        <f t="shared" si="13"/>
        <v>100</v>
      </c>
      <c r="V30" s="772" t="s">
        <v>17</v>
      </c>
      <c r="W30" s="773">
        <f t="shared" si="14"/>
        <v>100</v>
      </c>
      <c r="X30" s="1814"/>
      <c r="Y30" s="3279"/>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79"/>
      <c r="Q31" s="1796" t="str">
        <f t="shared" si="11"/>
        <v>停车位面积</v>
      </c>
      <c r="R31" s="768" t="s">
        <v>17</v>
      </c>
      <c r="S31" s="769" t="e">
        <f t="shared" si="12"/>
        <v>#N/A</v>
      </c>
      <c r="T31" s="768" t="s">
        <v>17</v>
      </c>
      <c r="U31" s="769" t="e">
        <f t="shared" si="13"/>
        <v>#N/A</v>
      </c>
      <c r="V31" s="768" t="s">
        <v>17</v>
      </c>
      <c r="W31" s="769" t="e">
        <f t="shared" si="14"/>
        <v>#N/A</v>
      </c>
      <c r="X31" s="770"/>
      <c r="Y31" s="3279"/>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79" t="s">
        <v>2560</v>
      </c>
      <c r="Q32" s="1811" t="str">
        <f t="shared" si="11"/>
        <v>车位类型</v>
      </c>
      <c r="R32" s="772" t="s">
        <v>17</v>
      </c>
      <c r="S32" s="773">
        <f t="shared" si="12"/>
        <v>100</v>
      </c>
      <c r="T32" s="772" t="s">
        <v>17</v>
      </c>
      <c r="U32" s="773">
        <f t="shared" si="13"/>
        <v>100</v>
      </c>
      <c r="V32" s="772" t="s">
        <v>17</v>
      </c>
      <c r="W32" s="773">
        <f t="shared" si="14"/>
        <v>100</v>
      </c>
      <c r="X32" s="1814"/>
      <c r="Y32" s="3279"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79"/>
      <c r="Q33" s="1811" t="str">
        <f t="shared" si="11"/>
        <v>是否直接入户</v>
      </c>
      <c r="R33" s="772" t="s">
        <v>17</v>
      </c>
      <c r="S33" s="773">
        <f t="shared" si="12"/>
        <v>100</v>
      </c>
      <c r="T33" s="772" t="s">
        <v>17</v>
      </c>
      <c r="U33" s="773">
        <f t="shared" si="13"/>
        <v>100</v>
      </c>
      <c r="V33" s="772" t="s">
        <v>17</v>
      </c>
      <c r="W33" s="773">
        <f t="shared" si="14"/>
        <v>100</v>
      </c>
      <c r="X33" s="1814"/>
      <c r="Y33" s="3279"/>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79"/>
      <c r="Q34" s="1811">
        <f t="shared" si="11"/>
        <v>111</v>
      </c>
      <c r="R34" s="772" t="s">
        <v>17</v>
      </c>
      <c r="S34" s="773">
        <f t="shared" si="12"/>
        <v>100</v>
      </c>
      <c r="T34" s="772" t="s">
        <v>17</v>
      </c>
      <c r="U34" s="773">
        <f t="shared" si="13"/>
        <v>100</v>
      </c>
      <c r="V34" s="772" t="s">
        <v>17</v>
      </c>
      <c r="W34" s="773">
        <f t="shared" si="14"/>
        <v>100</v>
      </c>
      <c r="X34" s="1814"/>
      <c r="Y34" s="3279"/>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79"/>
      <c r="Q35" s="774">
        <f t="shared" si="11"/>
        <v>111</v>
      </c>
      <c r="R35" s="775" t="s">
        <v>17</v>
      </c>
      <c r="S35" s="776">
        <f t="shared" si="12"/>
        <v>100</v>
      </c>
      <c r="T35" s="775" t="s">
        <v>17</v>
      </c>
      <c r="U35" s="776">
        <f t="shared" si="13"/>
        <v>100</v>
      </c>
      <c r="V35" s="775" t="s">
        <v>17</v>
      </c>
      <c r="W35" s="776">
        <f t="shared" si="14"/>
        <v>100</v>
      </c>
      <c r="X35" s="777"/>
      <c r="Y35" s="3279"/>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79"/>
      <c r="Q36" s="1811">
        <f t="shared" si="11"/>
        <v>111</v>
      </c>
      <c r="R36" s="772" t="s">
        <v>17</v>
      </c>
      <c r="S36" s="773">
        <f t="shared" si="12"/>
        <v>100</v>
      </c>
      <c r="T36" s="772" t="s">
        <v>17</v>
      </c>
      <c r="U36" s="773">
        <f t="shared" si="13"/>
        <v>100</v>
      </c>
      <c r="V36" s="772" t="s">
        <v>17</v>
      </c>
      <c r="W36" s="773">
        <f t="shared" si="14"/>
        <v>100</v>
      </c>
      <c r="X36" s="1814"/>
      <c r="Y36" s="3279"/>
      <c r="Z36" s="1815">
        <f t="shared" si="15"/>
        <v>111</v>
      </c>
      <c r="AA36" s="1812">
        <f t="shared" si="3"/>
        <v>1</v>
      </c>
      <c r="AB36" s="1812">
        <f t="shared" si="4"/>
        <v>1</v>
      </c>
      <c r="AC36" s="1812">
        <f t="shared" si="5"/>
        <v>1</v>
      </c>
    </row>
    <row r="37" spans="1:29" ht="15">
      <c r="A37" s="479" t="s">
        <v>2715</v>
      </c>
      <c r="B37" s="2698" t="s">
        <v>2716</v>
      </c>
      <c r="C37" s="1408" t="s">
        <v>1</v>
      </c>
      <c r="D37" s="1409"/>
      <c r="E37" s="1410"/>
      <c r="F37" s="1411"/>
      <c r="G37" s="1412"/>
      <c r="H37" s="1413"/>
      <c r="I37" s="1410"/>
      <c r="J37" s="1413"/>
      <c r="K37" s="619"/>
      <c r="L37" s="1144"/>
      <c r="M37" s="1145"/>
      <c r="N37" s="1132"/>
      <c r="O37" s="1145"/>
      <c r="P37" s="3281" t="str">
        <f>A37</f>
        <v>成交单价</v>
      </c>
      <c r="Q37" s="3281"/>
      <c r="R37" s="3282">
        <f>E37</f>
        <v>0</v>
      </c>
      <c r="S37" s="3282"/>
      <c r="T37" s="3282">
        <f>G37</f>
        <v>0</v>
      </c>
      <c r="U37" s="3282"/>
      <c r="V37" s="3282">
        <f>I37</f>
        <v>0</v>
      </c>
      <c r="W37" s="3282"/>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283" t="str">
        <f>A39</f>
        <v>估价对象XX用房的比较价值（楼面单价，元/平方米）</v>
      </c>
      <c r="Q39" s="3284"/>
      <c r="R39" s="3285" t="e">
        <f>IF(F1="售价",ROUND(AVERAGE(R38:V38),0),ROUND(AVERAGE(R38:V38),1))</f>
        <v>#DIV/0!</v>
      </c>
      <c r="S39" s="3285"/>
      <c r="T39" s="3285"/>
      <c r="U39" s="3285"/>
      <c r="V39" s="3285"/>
      <c r="W39" s="3285"/>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北京达世行汽车销售有限公司：</v>
      </c>
    </row>
    <row r="4" spans="1:1" ht="36">
      <c r="A4" s="1949" t="str">
        <f>"受贵公司委托，我公司对"&amp;项目基本情况!S1&amp;"进行了预评估。"</f>
        <v>受贵公司委托，我公司对北京市朝阳区东三环南路76号房地产抵押价值进行了预评估。</v>
      </c>
    </row>
    <row r="5" spans="1:1" ht="18.75">
      <c r="A5" s="1950" t="s">
        <v>1611</v>
      </c>
    </row>
    <row r="6" spans="1:1" ht="18.75">
      <c r="A6" s="1951" t="s">
        <v>1612</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76号房地产，为所有。根据《国有土地使用证》[]，估价对象（分摊）出让国有建设用地使用权面积为1121.78平方米。根据《房屋所有权证》[]、《测绘报告》[]，估价对象建筑面积为2496.59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为估价委托人在向工行地安门支行办理贷款手续过程中，确定房地产抵押贷款额度提供参考依据而评估房地产抵押价值。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2018年5月31日（评估专业人员实地查勘之日）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2" t="s">
        <v>2538</v>
      </c>
      <c r="F5" s="3249"/>
      <c r="G5" s="3250" t="s">
        <v>2539</v>
      </c>
      <c r="H5" s="3251"/>
      <c r="I5" s="3250" t="s">
        <v>2540</v>
      </c>
      <c r="J5" s="3251"/>
      <c r="K5" s="610"/>
      <c r="L5" s="1131"/>
      <c r="M5" s="1132"/>
      <c r="N5" s="1132"/>
      <c r="O5" s="1132"/>
      <c r="P5" s="3265"/>
      <c r="Q5" s="3266"/>
      <c r="R5" s="3246"/>
      <c r="S5" s="3247"/>
      <c r="T5" s="3246"/>
      <c r="U5" s="3247"/>
      <c r="V5" s="3241"/>
      <c r="W5" s="3241"/>
      <c r="X5" s="1814"/>
      <c r="Y5" s="3246"/>
      <c r="Z5" s="3247"/>
      <c r="AA5" s="3239"/>
      <c r="AB5" s="3239"/>
      <c r="AC5" s="3239"/>
    </row>
    <row r="6" spans="1:29" ht="15.75" thickBot="1">
      <c r="A6" s="406"/>
      <c r="B6" s="407"/>
      <c r="C6" s="3252" t="s">
        <v>2541</v>
      </c>
      <c r="D6" s="3253"/>
      <c r="E6" s="3313" t="s">
        <v>2541</v>
      </c>
      <c r="F6" s="3256"/>
      <c r="G6" s="3252" t="s">
        <v>2541</v>
      </c>
      <c r="H6" s="3253"/>
      <c r="I6" s="3252" t="s">
        <v>2541</v>
      </c>
      <c r="J6" s="3253"/>
      <c r="K6" s="610" t="s">
        <v>2542</v>
      </c>
      <c r="L6" s="1131"/>
      <c r="M6" s="1132"/>
      <c r="N6" s="1132"/>
      <c r="O6" s="1132"/>
      <c r="P6" s="3267"/>
      <c r="Q6" s="3268"/>
      <c r="R6" s="3246"/>
      <c r="S6" s="3247"/>
      <c r="T6" s="3269"/>
      <c r="U6" s="3270"/>
      <c r="V6" s="3241"/>
      <c r="W6" s="3241"/>
      <c r="X6" s="1814"/>
      <c r="Y6" s="3269"/>
      <c r="Z6" s="3270"/>
      <c r="AA6" s="3240"/>
      <c r="AB6" s="3240"/>
      <c r="AC6" s="3240"/>
    </row>
    <row r="7" spans="1:29" s="117" customFormat="1" ht="15.75" thickBot="1">
      <c r="A7" s="408" t="s">
        <v>2543</v>
      </c>
      <c r="B7" s="409"/>
      <c r="C7" s="410">
        <f>'数据-取费表'!B2</f>
        <v>43251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42" t="s">
        <v>2544</v>
      </c>
      <c r="Q7" s="3271"/>
      <c r="R7" s="768" t="s">
        <v>17</v>
      </c>
      <c r="S7" s="769">
        <f t="shared" ref="S7:S14" si="0">F7</f>
        <v>0</v>
      </c>
      <c r="T7" s="768" t="s">
        <v>17</v>
      </c>
      <c r="U7" s="769">
        <f t="shared" ref="U7:U14" si="1">H7</f>
        <v>0</v>
      </c>
      <c r="V7" s="768" t="s">
        <v>17</v>
      </c>
      <c r="W7" s="769">
        <f t="shared" ref="W7:W14" si="2">J7</f>
        <v>0</v>
      </c>
      <c r="X7" s="770"/>
      <c r="Y7" s="3242" t="s">
        <v>2544</v>
      </c>
      <c r="Z7" s="3243"/>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81" t="s">
        <v>2550</v>
      </c>
      <c r="Q9" s="1796" t="str">
        <f t="shared" ref="Q9:Q14" si="6">B9</f>
        <v>用途</v>
      </c>
      <c r="R9" s="768" t="s">
        <v>17</v>
      </c>
      <c r="S9" s="769">
        <f t="shared" si="0"/>
        <v>100</v>
      </c>
      <c r="T9" s="768" t="s">
        <v>17</v>
      </c>
      <c r="U9" s="769">
        <f t="shared" si="1"/>
        <v>100</v>
      </c>
      <c r="V9" s="768" t="s">
        <v>17</v>
      </c>
      <c r="W9" s="769">
        <f t="shared" si="2"/>
        <v>100</v>
      </c>
      <c r="X9" s="770"/>
      <c r="Y9" s="3115"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81"/>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81"/>
      <c r="Q11" s="1796">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81"/>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81"/>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85.5">
      <c r="A14" s="440" t="s">
        <v>2554</v>
      </c>
      <c r="B14" s="69" t="s">
        <v>2704</v>
      </c>
      <c r="C14" s="2696" t="str">
        <f>IF(B1="工业",估价对象房地状况!G4,估价对象房地状况!C6)</f>
        <v>周边有28、53、621、638路等多条公交线路及地铁10、14号线经过，交通便捷度较好。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74" t="s">
        <v>2555</v>
      </c>
      <c r="Q14" s="1811" t="str">
        <f t="shared" si="6"/>
        <v>交通便捷度</v>
      </c>
      <c r="R14" s="772" t="s">
        <v>17</v>
      </c>
      <c r="S14" s="773">
        <f t="shared" si="0"/>
        <v>100</v>
      </c>
      <c r="T14" s="772" t="s">
        <v>17</v>
      </c>
      <c r="U14" s="773">
        <f t="shared" si="1"/>
        <v>100</v>
      </c>
      <c r="V14" s="772" t="s">
        <v>17</v>
      </c>
      <c r="W14" s="773">
        <f t="shared" si="2"/>
        <v>100</v>
      </c>
      <c r="X14" s="1814"/>
      <c r="Y14" s="3274"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75"/>
      <c r="Q15" s="1811"/>
      <c r="R15" s="772"/>
      <c r="S15" s="773"/>
      <c r="T15" s="772"/>
      <c r="U15" s="773"/>
      <c r="V15" s="772"/>
      <c r="W15" s="773"/>
      <c r="X15" s="1814"/>
      <c r="Y15" s="3275"/>
      <c r="Z15" s="1815"/>
      <c r="AA15" s="1812">
        <v>1</v>
      </c>
      <c r="AB15" s="1812">
        <v>1</v>
      </c>
      <c r="AC15" s="1812">
        <v>1</v>
      </c>
    </row>
    <row r="16" spans="1:29" ht="85.5">
      <c r="A16" s="428"/>
      <c r="B16" s="451" t="s">
        <v>2683</v>
      </c>
      <c r="C16" s="2610" t="str">
        <f>IF(B1="工业",估价对象房地状况!G5,估价对象房地状况!C7)</f>
        <v>周边有汉华购物中心、晓慧便民超市、北京中山医院等，公共服务配套设施齐备度较好。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75"/>
      <c r="Q16" s="1811" t="str">
        <f>B16</f>
        <v>公共配套设施</v>
      </c>
      <c r="R16" s="772" t="s">
        <v>17</v>
      </c>
      <c r="S16" s="773">
        <f>F16</f>
        <v>100</v>
      </c>
      <c r="T16" s="772" t="s">
        <v>17</v>
      </c>
      <c r="U16" s="773">
        <f>H16</f>
        <v>100</v>
      </c>
      <c r="V16" s="772" t="s">
        <v>17</v>
      </c>
      <c r="W16" s="773">
        <f>J16</f>
        <v>100</v>
      </c>
      <c r="X16" s="1814"/>
      <c r="Y16" s="3275"/>
      <c r="Z16" s="1815" t="str">
        <f>Q16</f>
        <v>公共配套设施</v>
      </c>
      <c r="AA16" s="1812">
        <f t="shared" si="3"/>
        <v>1</v>
      </c>
      <c r="AB16" s="1812">
        <f t="shared" si="4"/>
        <v>1</v>
      </c>
      <c r="AC16" s="1812">
        <f t="shared" si="5"/>
        <v>1</v>
      </c>
    </row>
    <row r="17" spans="1:29" ht="15">
      <c r="A17" s="428"/>
      <c r="B17" s="456"/>
      <c r="C17" s="2611"/>
      <c r="D17" s="448"/>
      <c r="E17" s="447"/>
      <c r="F17" s="449"/>
      <c r="G17" s="447"/>
      <c r="H17" s="448"/>
      <c r="I17" s="447"/>
      <c r="J17" s="448"/>
      <c r="K17" s="615"/>
      <c r="L17" s="1141"/>
      <c r="M17" s="1132"/>
      <c r="N17" s="1132"/>
      <c r="O17" s="1140"/>
      <c r="P17" s="3275"/>
      <c r="Q17" s="1811"/>
      <c r="R17" s="772"/>
      <c r="S17" s="773"/>
      <c r="T17" s="772"/>
      <c r="U17" s="773"/>
      <c r="V17" s="772"/>
      <c r="W17" s="773"/>
      <c r="X17" s="1814"/>
      <c r="Y17" s="3275"/>
      <c r="Z17" s="1815"/>
      <c r="AA17" s="1812">
        <v>1</v>
      </c>
      <c r="AB17" s="1812">
        <v>1</v>
      </c>
      <c r="AC17" s="1812">
        <v>1</v>
      </c>
    </row>
    <row r="18" spans="1:29" ht="42.75">
      <c r="A18" s="428"/>
      <c r="B18" s="1385" t="s">
        <v>2684</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75"/>
      <c r="Q18" s="1811" t="str">
        <f>B18</f>
        <v>基础设施水平</v>
      </c>
      <c r="R18" s="772" t="s">
        <v>17</v>
      </c>
      <c r="S18" s="773">
        <f>F18</f>
        <v>100</v>
      </c>
      <c r="T18" s="772" t="s">
        <v>17</v>
      </c>
      <c r="U18" s="773">
        <f>H18</f>
        <v>100</v>
      </c>
      <c r="V18" s="772" t="s">
        <v>17</v>
      </c>
      <c r="W18" s="773">
        <f>J18</f>
        <v>100</v>
      </c>
      <c r="X18" s="1814"/>
      <c r="Y18" s="3275"/>
      <c r="Z18" s="1815" t="str">
        <f>Q18</f>
        <v>基础设施水平</v>
      </c>
      <c r="AA18" s="1812">
        <f t="shared" ref="AA18" si="8">D18/F18</f>
        <v>1</v>
      </c>
      <c r="AB18" s="1812">
        <f t="shared" ref="AB18" si="9">D18/H18</f>
        <v>1</v>
      </c>
      <c r="AC18" s="1812">
        <f t="shared" ref="AC18" si="10">D18/J18</f>
        <v>1</v>
      </c>
    </row>
    <row r="19" spans="1:29" ht="15">
      <c r="A19" s="428"/>
      <c r="B19" s="1385"/>
      <c r="C19" s="2611"/>
      <c r="D19" s="450"/>
      <c r="E19" s="2611"/>
      <c r="F19" s="453"/>
      <c r="G19" s="2611"/>
      <c r="H19" s="448"/>
      <c r="I19" s="447"/>
      <c r="J19" s="448"/>
      <c r="K19" s="1384"/>
      <c r="L19" s="1141"/>
      <c r="M19" s="1132"/>
      <c r="N19" s="1132"/>
      <c r="O19" s="1140"/>
      <c r="P19" s="3275"/>
      <c r="Q19" s="1811"/>
      <c r="R19" s="772"/>
      <c r="S19" s="773"/>
      <c r="T19" s="772"/>
      <c r="U19" s="773"/>
      <c r="V19" s="772"/>
      <c r="W19" s="773"/>
      <c r="X19" s="1814"/>
      <c r="Y19" s="3275"/>
      <c r="Z19" s="1815"/>
      <c r="AA19" s="1812">
        <v>1</v>
      </c>
      <c r="AB19" s="1812">
        <v>1</v>
      </c>
      <c r="AC19" s="1812">
        <v>1</v>
      </c>
    </row>
    <row r="20" spans="1:29" ht="85.5">
      <c r="A20" s="428"/>
      <c r="B20" s="451" t="s">
        <v>2705</v>
      </c>
      <c r="C20" s="2610" t="str">
        <f>IF(B1="工业",估价对象房地状况!G7,估价对象房地状况!C9)</f>
        <v>周边2公里内有龙潭湖、北京工业大学等，周边无大型污染源，综合考虑自然及人文环境较好。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75"/>
      <c r="Q20" s="1811" t="str">
        <f>B20</f>
        <v>自然及人文环境</v>
      </c>
      <c r="R20" s="772" t="s">
        <v>17</v>
      </c>
      <c r="S20" s="773">
        <f>F20</f>
        <v>100</v>
      </c>
      <c r="T20" s="772" t="s">
        <v>17</v>
      </c>
      <c r="U20" s="773">
        <f>H20</f>
        <v>100</v>
      </c>
      <c r="V20" s="772" t="s">
        <v>17</v>
      </c>
      <c r="W20" s="773">
        <f>J20</f>
        <v>100</v>
      </c>
      <c r="X20" s="1814"/>
      <c r="Y20" s="327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75"/>
      <c r="Q21" s="1811"/>
      <c r="R21" s="772"/>
      <c r="S21" s="773"/>
      <c r="T21" s="772"/>
      <c r="U21" s="773"/>
      <c r="V21" s="772"/>
      <c r="W21" s="773"/>
      <c r="X21" s="1814"/>
      <c r="Y21" s="3275"/>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75"/>
      <c r="Q22" s="1811" t="str">
        <f>B22</f>
        <v>楼层</v>
      </c>
      <c r="R22" s="772" t="s">
        <v>17</v>
      </c>
      <c r="S22" s="773">
        <f>F22</f>
        <v>100</v>
      </c>
      <c r="T22" s="772" t="s">
        <v>17</v>
      </c>
      <c r="U22" s="773">
        <f>H22</f>
        <v>100</v>
      </c>
      <c r="V22" s="772" t="s">
        <v>17</v>
      </c>
      <c r="W22" s="773">
        <f>J22</f>
        <v>100</v>
      </c>
      <c r="X22" s="1814"/>
      <c r="Y22" s="3275"/>
      <c r="Z22" s="1815" t="str">
        <f>Q22</f>
        <v>楼层</v>
      </c>
      <c r="AA22" s="1812">
        <f t="shared" si="3"/>
        <v>1</v>
      </c>
      <c r="AB22" s="1812">
        <f t="shared" si="4"/>
        <v>1</v>
      </c>
      <c r="AC22" s="1812">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75"/>
      <c r="Q23" s="1811">
        <f>B23</f>
        <v>111</v>
      </c>
      <c r="R23" s="772" t="s">
        <v>17</v>
      </c>
      <c r="S23" s="773">
        <f>F23</f>
        <v>100</v>
      </c>
      <c r="T23" s="772" t="s">
        <v>17</v>
      </c>
      <c r="U23" s="773">
        <f>H23</f>
        <v>100</v>
      </c>
      <c r="V23" s="772" t="s">
        <v>17</v>
      </c>
      <c r="W23" s="773">
        <f>J23</f>
        <v>100</v>
      </c>
      <c r="X23" s="1814"/>
      <c r="Y23" s="3275"/>
      <c r="Z23" s="1815">
        <f>Q23</f>
        <v>111</v>
      </c>
      <c r="AA23" s="1812">
        <f t="shared" si="3"/>
        <v>1</v>
      </c>
      <c r="AB23" s="1812">
        <f t="shared" si="4"/>
        <v>1</v>
      </c>
      <c r="AC23" s="1812">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75"/>
      <c r="Q24" s="1811">
        <f t="shared" ref="Q24:Q34" si="11">B24</f>
        <v>111</v>
      </c>
      <c r="R24" s="772" t="s">
        <v>17</v>
      </c>
      <c r="S24" s="773">
        <f>F24</f>
        <v>100</v>
      </c>
      <c r="T24" s="772" t="s">
        <v>17</v>
      </c>
      <c r="U24" s="773">
        <f>H24</f>
        <v>100</v>
      </c>
      <c r="V24" s="772" t="s">
        <v>17</v>
      </c>
      <c r="W24" s="773">
        <f>J24</f>
        <v>100</v>
      </c>
      <c r="X24" s="1814"/>
      <c r="Y24" s="3275"/>
      <c r="Z24" s="1815">
        <f>Q24</f>
        <v>111</v>
      </c>
      <c r="AA24" s="1812">
        <f t="shared" si="3"/>
        <v>1</v>
      </c>
      <c r="AB24" s="1812">
        <f t="shared" si="4"/>
        <v>1</v>
      </c>
      <c r="AC24" s="1812">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75"/>
      <c r="Q25" s="1796">
        <f t="shared" si="11"/>
        <v>111</v>
      </c>
      <c r="R25" s="768" t="s">
        <v>17</v>
      </c>
      <c r="S25" s="769">
        <f>F25</f>
        <v>100</v>
      </c>
      <c r="T25" s="768" t="s">
        <v>17</v>
      </c>
      <c r="U25" s="769">
        <f>H25</f>
        <v>100</v>
      </c>
      <c r="V25" s="768" t="s">
        <v>17</v>
      </c>
      <c r="W25" s="769">
        <f>J25</f>
        <v>100</v>
      </c>
      <c r="X25" s="770"/>
      <c r="Y25" s="3275"/>
      <c r="Z25" s="55">
        <f>Q25</f>
        <v>111</v>
      </c>
      <c r="AA25" s="1812">
        <f>D25/F25</f>
        <v>1</v>
      </c>
      <c r="AB25" s="1812">
        <f>D25/H25</f>
        <v>1</v>
      </c>
      <c r="AC25" s="1812">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329"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79"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79"/>
      <c r="Q27" s="774" t="str">
        <f t="shared" si="11"/>
        <v>成新率</v>
      </c>
      <c r="R27" s="775" t="s">
        <v>17</v>
      </c>
      <c r="S27" s="776" t="e">
        <f t="shared" si="12"/>
        <v>#N/A</v>
      </c>
      <c r="T27" s="775" t="s">
        <v>17</v>
      </c>
      <c r="U27" s="776" t="e">
        <f t="shared" si="13"/>
        <v>#N/A</v>
      </c>
      <c r="V27" s="775" t="s">
        <v>17</v>
      </c>
      <c r="W27" s="776" t="e">
        <f t="shared" si="14"/>
        <v>#N/A</v>
      </c>
      <c r="X27" s="777"/>
      <c r="Y27" s="3279"/>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79"/>
      <c r="Q28" s="1811" t="str">
        <f t="shared" si="11"/>
        <v>物业等级</v>
      </c>
      <c r="R28" s="772" t="s">
        <v>17</v>
      </c>
      <c r="S28" s="773">
        <f t="shared" si="12"/>
        <v>100</v>
      </c>
      <c r="T28" s="772" t="s">
        <v>17</v>
      </c>
      <c r="U28" s="773">
        <f t="shared" si="13"/>
        <v>100</v>
      </c>
      <c r="V28" s="772" t="s">
        <v>17</v>
      </c>
      <c r="W28" s="773">
        <f t="shared" si="14"/>
        <v>100</v>
      </c>
      <c r="X28" s="1814"/>
      <c r="Y28" s="3279"/>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79"/>
      <c r="Q29" s="1811" t="str">
        <f t="shared" si="11"/>
        <v>有无电梯</v>
      </c>
      <c r="R29" s="772" t="s">
        <v>17</v>
      </c>
      <c r="S29" s="773">
        <f t="shared" si="12"/>
        <v>100</v>
      </c>
      <c r="T29" s="772" t="s">
        <v>17</v>
      </c>
      <c r="U29" s="773">
        <f t="shared" si="13"/>
        <v>100</v>
      </c>
      <c r="V29" s="772" t="s">
        <v>17</v>
      </c>
      <c r="W29" s="773">
        <f t="shared" si="14"/>
        <v>100</v>
      </c>
      <c r="X29" s="1814"/>
      <c r="Y29" s="3279"/>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79"/>
      <c r="Q30" s="1811" t="str">
        <f t="shared" si="11"/>
        <v>建筑面积</v>
      </c>
      <c r="R30" s="772" t="s">
        <v>17</v>
      </c>
      <c r="S30" s="773" t="e">
        <f t="shared" si="12"/>
        <v>#N/A</v>
      </c>
      <c r="T30" s="772" t="s">
        <v>17</v>
      </c>
      <c r="U30" s="773" t="e">
        <f t="shared" si="13"/>
        <v>#N/A</v>
      </c>
      <c r="V30" s="772" t="s">
        <v>17</v>
      </c>
      <c r="W30" s="773" t="e">
        <f t="shared" si="14"/>
        <v>#N/A</v>
      </c>
      <c r="X30" s="1814"/>
      <c r="Y30" s="3279"/>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79"/>
      <c r="Q31" s="1796" t="str">
        <f t="shared" si="11"/>
        <v>是否封闭</v>
      </c>
      <c r="R31" s="768" t="s">
        <v>17</v>
      </c>
      <c r="S31" s="769">
        <f t="shared" si="12"/>
        <v>100</v>
      </c>
      <c r="T31" s="768" t="s">
        <v>17</v>
      </c>
      <c r="U31" s="769">
        <f t="shared" si="13"/>
        <v>100</v>
      </c>
      <c r="V31" s="768" t="s">
        <v>17</v>
      </c>
      <c r="W31" s="769">
        <f t="shared" si="14"/>
        <v>100</v>
      </c>
      <c r="X31" s="770"/>
      <c r="Y31" s="3279"/>
      <c r="Z31" s="55" t="str">
        <f t="shared" si="15"/>
        <v>是否封闭</v>
      </c>
      <c r="AA31" s="771">
        <f t="shared" si="3"/>
        <v>1</v>
      </c>
      <c r="AB31" s="771">
        <f t="shared" si="4"/>
        <v>1</v>
      </c>
      <c r="AC31" s="771">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79" t="s">
        <v>2560</v>
      </c>
      <c r="Q32" s="1811">
        <f t="shared" si="11"/>
        <v>111</v>
      </c>
      <c r="R32" s="772" t="s">
        <v>17</v>
      </c>
      <c r="S32" s="773">
        <f t="shared" si="12"/>
        <v>100</v>
      </c>
      <c r="T32" s="772" t="s">
        <v>17</v>
      </c>
      <c r="U32" s="773">
        <f t="shared" si="13"/>
        <v>100</v>
      </c>
      <c r="V32" s="772" t="s">
        <v>17</v>
      </c>
      <c r="W32" s="773">
        <f t="shared" si="14"/>
        <v>100</v>
      </c>
      <c r="X32" s="1814"/>
      <c r="Y32" s="3279" t="s">
        <v>2560</v>
      </c>
      <c r="Z32" s="1815">
        <f t="shared" si="15"/>
        <v>111</v>
      </c>
      <c r="AA32" s="1812">
        <f t="shared" si="3"/>
        <v>1</v>
      </c>
      <c r="AB32" s="1812">
        <f t="shared" si="4"/>
        <v>1</v>
      </c>
      <c r="AC32" s="1812">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79"/>
      <c r="Q33" s="1811">
        <f t="shared" si="11"/>
        <v>111</v>
      </c>
      <c r="R33" s="772" t="s">
        <v>17</v>
      </c>
      <c r="S33" s="773">
        <f t="shared" si="12"/>
        <v>100</v>
      </c>
      <c r="T33" s="772" t="s">
        <v>17</v>
      </c>
      <c r="U33" s="773">
        <f t="shared" si="13"/>
        <v>100</v>
      </c>
      <c r="V33" s="772" t="s">
        <v>17</v>
      </c>
      <c r="W33" s="773">
        <f t="shared" si="14"/>
        <v>100</v>
      </c>
      <c r="X33" s="1814"/>
      <c r="Y33" s="3279"/>
      <c r="Z33" s="1815">
        <f t="shared" si="15"/>
        <v>111</v>
      </c>
      <c r="AA33" s="1812">
        <f t="shared" si="3"/>
        <v>1</v>
      </c>
      <c r="AB33" s="1812">
        <f t="shared" si="4"/>
        <v>1</v>
      </c>
      <c r="AC33" s="1812">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79"/>
      <c r="Q34" s="1811">
        <f t="shared" si="11"/>
        <v>111</v>
      </c>
      <c r="R34" s="772" t="s">
        <v>17</v>
      </c>
      <c r="S34" s="773">
        <f t="shared" si="12"/>
        <v>100</v>
      </c>
      <c r="T34" s="772" t="s">
        <v>17</v>
      </c>
      <c r="U34" s="773">
        <f t="shared" si="13"/>
        <v>100</v>
      </c>
      <c r="V34" s="772" t="s">
        <v>17</v>
      </c>
      <c r="W34" s="773">
        <f t="shared" si="14"/>
        <v>100</v>
      </c>
      <c r="X34" s="1814"/>
      <c r="Y34" s="3279"/>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281" t="str">
        <f>A35</f>
        <v>成交单价（元/平方米）</v>
      </c>
      <c r="Q35" s="3281"/>
      <c r="R35" s="3282">
        <f>E35</f>
        <v>0</v>
      </c>
      <c r="S35" s="3282"/>
      <c r="T35" s="3282">
        <f>G35</f>
        <v>0</v>
      </c>
      <c r="U35" s="3282"/>
      <c r="V35" s="3282">
        <f>I35</f>
        <v>0</v>
      </c>
      <c r="W35" s="3282"/>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283" t="str">
        <f>A37</f>
        <v>估价对象XX用房的比较价值（楼面单价，元/平方米）</v>
      </c>
      <c r="Q37" s="3284"/>
      <c r="R37" s="3285" t="e">
        <f>IF(F1="售价",ROUND(AVERAGE(R36:V36),0),ROUND(AVERAGE(R36:V36),1))</f>
        <v>#DIV/0!</v>
      </c>
      <c r="S37" s="3285"/>
      <c r="T37" s="3285"/>
      <c r="U37" s="3285"/>
      <c r="V37" s="3285"/>
      <c r="W37" s="3285"/>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39" t="s">
        <v>2643</v>
      </c>
      <c r="AC4" s="3238" t="s">
        <v>2644</v>
      </c>
    </row>
    <row r="5" spans="1:30" ht="15">
      <c r="A5" s="404"/>
      <c r="B5" s="405"/>
      <c r="C5" s="3250" t="s">
        <v>2537</v>
      </c>
      <c r="D5" s="3251"/>
      <c r="E5" s="3312" t="s">
        <v>2538</v>
      </c>
      <c r="F5" s="3249"/>
      <c r="G5" s="3250" t="s">
        <v>2539</v>
      </c>
      <c r="H5" s="3251"/>
      <c r="I5" s="3250" t="s">
        <v>2540</v>
      </c>
      <c r="J5" s="3251"/>
      <c r="K5" s="610"/>
      <c r="L5" s="1131"/>
      <c r="M5" s="1132"/>
      <c r="N5" s="1132"/>
      <c r="O5" s="1132"/>
      <c r="P5" s="3265"/>
      <c r="Q5" s="3266"/>
      <c r="R5" s="3246"/>
      <c r="S5" s="3247"/>
      <c r="T5" s="3246"/>
      <c r="U5" s="3247"/>
      <c r="V5" s="3241"/>
      <c r="W5" s="3241"/>
      <c r="X5" s="1814"/>
      <c r="Y5" s="3246"/>
      <c r="Z5" s="3247"/>
      <c r="AA5" s="3239"/>
      <c r="AB5" s="3239"/>
      <c r="AC5" s="3239"/>
    </row>
    <row r="6" spans="1:30" ht="15.75" thickBot="1">
      <c r="A6" s="406"/>
      <c r="B6" s="407"/>
      <c r="C6" s="3252" t="s">
        <v>2541</v>
      </c>
      <c r="D6" s="3253"/>
      <c r="E6" s="3313" t="s">
        <v>2541</v>
      </c>
      <c r="F6" s="3256"/>
      <c r="G6" s="3252" t="s">
        <v>2541</v>
      </c>
      <c r="H6" s="3253"/>
      <c r="I6" s="3252" t="s">
        <v>2541</v>
      </c>
      <c r="J6" s="3253"/>
      <c r="K6" s="610" t="s">
        <v>2542</v>
      </c>
      <c r="L6" s="1131"/>
      <c r="M6" s="1132"/>
      <c r="N6" s="1132"/>
      <c r="O6" s="1132"/>
      <c r="P6" s="3267"/>
      <c r="Q6" s="3268"/>
      <c r="R6" s="3246"/>
      <c r="S6" s="3247"/>
      <c r="T6" s="3269"/>
      <c r="U6" s="3270"/>
      <c r="V6" s="3241"/>
      <c r="W6" s="3241"/>
      <c r="X6" s="1814"/>
      <c r="Y6" s="3269"/>
      <c r="Z6" s="3270"/>
      <c r="AA6" s="3240"/>
      <c r="AB6" s="3240"/>
      <c r="AC6" s="3240"/>
    </row>
    <row r="7" spans="1:30" s="117" customFormat="1" ht="15.75" thickBot="1">
      <c r="A7" s="408" t="s">
        <v>2543</v>
      </c>
      <c r="B7" s="409"/>
      <c r="C7" s="410">
        <f>'数据-取费表'!B2</f>
        <v>43251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42" t="s">
        <v>2544</v>
      </c>
      <c r="Q7" s="3271"/>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5" si="3">D8/F8</f>
        <v>#DIV/0!</v>
      </c>
      <c r="AB8" s="771" t="e">
        <f t="shared" ref="AB8:AB45" si="4">D8/H8</f>
        <v>#DIV/0!</v>
      </c>
      <c r="AC8" s="771"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81"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123</v>
      </c>
      <c r="G10" s="463"/>
      <c r="H10" s="136">
        <f>ROUND(100/'数据-取费表'!G16,0)</f>
        <v>123</v>
      </c>
      <c r="I10" s="463"/>
      <c r="J10" s="136">
        <f>ROUND(100/'数据-取费表'!G16,0)</f>
        <v>123</v>
      </c>
      <c r="K10" s="672"/>
      <c r="L10" s="1136"/>
      <c r="M10" s="1137"/>
      <c r="N10" s="1137"/>
      <c r="O10" s="1138"/>
      <c r="P10" s="3281"/>
      <c r="Q10" s="1796" t="str">
        <f t="shared" si="6"/>
        <v>土地使用年限（年）</v>
      </c>
      <c r="R10" s="768" t="s">
        <v>17</v>
      </c>
      <c r="S10" s="769">
        <f t="shared" si="0"/>
        <v>123</v>
      </c>
      <c r="T10" s="768" t="s">
        <v>17</v>
      </c>
      <c r="U10" s="769">
        <f t="shared" si="1"/>
        <v>123</v>
      </c>
      <c r="V10" s="768" t="s">
        <v>17</v>
      </c>
      <c r="W10" s="769">
        <f t="shared" si="2"/>
        <v>123</v>
      </c>
      <c r="X10" s="770"/>
      <c r="Y10" s="3115"/>
      <c r="Z10" s="55" t="str">
        <f t="shared" si="7"/>
        <v>土地使用年限（年）</v>
      </c>
      <c r="AA10" s="771">
        <f t="shared" si="3"/>
        <v>0.81300813008130079</v>
      </c>
      <c r="AB10" s="771">
        <f t="shared" si="4"/>
        <v>0.81300813008130079</v>
      </c>
      <c r="AC10" s="771">
        <f t="shared" si="5"/>
        <v>0.81300813008130079</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81"/>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81"/>
      <c r="Q12" s="1796" t="str">
        <f t="shared" si="6"/>
        <v>配建</v>
      </c>
      <c r="R12" s="768" t="s">
        <v>17</v>
      </c>
      <c r="S12" s="769">
        <f t="shared" si="0"/>
        <v>100</v>
      </c>
      <c r="T12" s="768" t="s">
        <v>17</v>
      </c>
      <c r="U12" s="769">
        <f t="shared" si="1"/>
        <v>100</v>
      </c>
      <c r="V12" s="768" t="s">
        <v>17</v>
      </c>
      <c r="W12" s="769">
        <f t="shared" si="2"/>
        <v>100</v>
      </c>
      <c r="X12" s="770"/>
      <c r="Y12" s="3115"/>
      <c r="Z12" s="55" t="str">
        <f t="shared" si="7"/>
        <v>配建</v>
      </c>
      <c r="AA12" s="771">
        <f>D12/F12</f>
        <v>1</v>
      </c>
      <c r="AB12" s="771">
        <f>D12/H12</f>
        <v>1</v>
      </c>
      <c r="AC12" s="771">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81"/>
      <c r="Q13" s="1796">
        <f t="shared" si="6"/>
        <v>111</v>
      </c>
      <c r="R13" s="768" t="s">
        <v>17</v>
      </c>
      <c r="S13" s="769">
        <f t="shared" si="0"/>
        <v>100</v>
      </c>
      <c r="T13" s="768" t="s">
        <v>17</v>
      </c>
      <c r="U13" s="769">
        <f t="shared" si="1"/>
        <v>100</v>
      </c>
      <c r="V13" s="768" t="s">
        <v>17</v>
      </c>
      <c r="W13" s="769">
        <f t="shared" si="2"/>
        <v>100</v>
      </c>
      <c r="X13" s="770"/>
      <c r="Y13" s="3115"/>
      <c r="Z13" s="55">
        <f t="shared" si="7"/>
        <v>111</v>
      </c>
      <c r="AA13" s="771">
        <f>D13/F13</f>
        <v>1</v>
      </c>
      <c r="AB13" s="771">
        <f>D13/H13</f>
        <v>1</v>
      </c>
      <c r="AC13" s="771">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81"/>
      <c r="Q14" s="1796">
        <f t="shared" si="6"/>
        <v>111</v>
      </c>
      <c r="R14" s="768" t="s">
        <v>17</v>
      </c>
      <c r="S14" s="769">
        <f t="shared" si="0"/>
        <v>100</v>
      </c>
      <c r="T14" s="768" t="s">
        <v>17</v>
      </c>
      <c r="U14" s="769">
        <f t="shared" si="1"/>
        <v>100</v>
      </c>
      <c r="V14" s="768" t="s">
        <v>17</v>
      </c>
      <c r="W14" s="769">
        <f t="shared" si="2"/>
        <v>100</v>
      </c>
      <c r="X14" s="770"/>
      <c r="Y14" s="3115"/>
      <c r="Z14" s="55">
        <f t="shared" si="7"/>
        <v>111</v>
      </c>
      <c r="AA14" s="771">
        <f>D14/F14</f>
        <v>1</v>
      </c>
      <c r="AB14" s="771">
        <f>D14/H14</f>
        <v>1</v>
      </c>
      <c r="AC14" s="771">
        <f>D14/J14</f>
        <v>1</v>
      </c>
    </row>
    <row r="15" spans="1:30" ht="99.75">
      <c r="A15" s="440" t="s">
        <v>2554</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74" t="s">
        <v>2555</v>
      </c>
      <c r="Q15" s="1811" t="str">
        <f t="shared" si="6"/>
        <v>居住社区成熟度</v>
      </c>
      <c r="R15" s="772" t="s">
        <v>17</v>
      </c>
      <c r="S15" s="773">
        <f t="shared" si="0"/>
        <v>100</v>
      </c>
      <c r="T15" s="772" t="s">
        <v>17</v>
      </c>
      <c r="U15" s="773">
        <f t="shared" si="1"/>
        <v>100</v>
      </c>
      <c r="V15" s="772" t="s">
        <v>17</v>
      </c>
      <c r="W15" s="773">
        <f t="shared" si="2"/>
        <v>100</v>
      </c>
      <c r="X15" s="1814"/>
      <c r="Y15" s="3274" t="s">
        <v>2555</v>
      </c>
      <c r="Z15" s="1815" t="str">
        <f t="shared" si="7"/>
        <v>居住社区成熟度</v>
      </c>
      <c r="AA15" s="1812">
        <f t="shared" si="3"/>
        <v>1</v>
      </c>
      <c r="AB15" s="1812">
        <f t="shared" si="4"/>
        <v>1</v>
      </c>
      <c r="AC15" s="1812">
        <f t="shared" si="5"/>
        <v>1</v>
      </c>
    </row>
    <row r="16" spans="1:30" ht="15">
      <c r="A16" s="428"/>
      <c r="B16" s="446"/>
      <c r="C16" s="447"/>
      <c r="D16" s="448"/>
      <c r="E16" s="2608"/>
      <c r="F16" s="448"/>
      <c r="G16" s="2608"/>
      <c r="H16" s="450"/>
      <c r="I16" s="2607"/>
      <c r="J16" s="448"/>
      <c r="K16" s="672"/>
      <c r="L16" s="1141"/>
      <c r="M16" s="1132"/>
      <c r="N16" s="1132"/>
      <c r="O16" s="1140"/>
      <c r="P16" s="3275"/>
      <c r="Q16" s="1811"/>
      <c r="R16" s="772"/>
      <c r="S16" s="773"/>
      <c r="T16" s="772"/>
      <c r="U16" s="773"/>
      <c r="V16" s="772"/>
      <c r="W16" s="773"/>
      <c r="X16" s="1814"/>
      <c r="Y16" s="3275"/>
      <c r="Z16" s="1815"/>
      <c r="AA16" s="1812">
        <v>1</v>
      </c>
      <c r="AB16" s="1812">
        <v>1</v>
      </c>
      <c r="AC16" s="1812">
        <v>1</v>
      </c>
    </row>
    <row r="17" spans="1:29" ht="85.5">
      <c r="A17" s="428"/>
      <c r="B17" s="451" t="s">
        <v>2648</v>
      </c>
      <c r="C17" s="2667" t="str">
        <f>估价对象房地状况!C16</f>
        <v>周边有弘钰博古玩城、北京五环大酒店、十里河文化园等商业项目，商业繁华度较好。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75"/>
      <c r="Q17" s="1811" t="str">
        <f>B17</f>
        <v>商业繁华度</v>
      </c>
      <c r="R17" s="772" t="s">
        <v>17</v>
      </c>
      <c r="S17" s="773">
        <f>F17</f>
        <v>100</v>
      </c>
      <c r="T17" s="772" t="s">
        <v>17</v>
      </c>
      <c r="U17" s="773">
        <f>H17</f>
        <v>100</v>
      </c>
      <c r="V17" s="772" t="s">
        <v>17</v>
      </c>
      <c r="W17" s="773">
        <f>J17</f>
        <v>100</v>
      </c>
      <c r="X17" s="1814"/>
      <c r="Y17" s="3275"/>
      <c r="Z17" s="1815" t="str">
        <f>Q17</f>
        <v>商业繁华度</v>
      </c>
      <c r="AA17" s="1812">
        <f t="shared" si="3"/>
        <v>1</v>
      </c>
      <c r="AB17" s="1812">
        <f t="shared" si="4"/>
        <v>1</v>
      </c>
      <c r="AC17" s="1812">
        <f t="shared" si="5"/>
        <v>1</v>
      </c>
    </row>
    <row r="18" spans="1:29" ht="15">
      <c r="A18" s="428"/>
      <c r="B18" s="456"/>
      <c r="C18" s="2611"/>
      <c r="D18" s="450"/>
      <c r="E18" s="2613"/>
      <c r="F18" s="450"/>
      <c r="G18" s="2613"/>
      <c r="H18" s="448"/>
      <c r="I18" s="2612"/>
      <c r="J18" s="448"/>
      <c r="K18" s="672"/>
      <c r="L18" s="1141"/>
      <c r="M18" s="1132"/>
      <c r="N18" s="1132"/>
      <c r="O18" s="1140"/>
      <c r="P18" s="3275"/>
      <c r="Q18" s="1811"/>
      <c r="R18" s="772"/>
      <c r="S18" s="773"/>
      <c r="T18" s="772"/>
      <c r="U18" s="773"/>
      <c r="V18" s="772"/>
      <c r="W18" s="773"/>
      <c r="X18" s="1814"/>
      <c r="Y18" s="3275"/>
      <c r="Z18" s="1815"/>
      <c r="AA18" s="1812">
        <v>1</v>
      </c>
      <c r="AB18" s="1812">
        <v>1</v>
      </c>
      <c r="AC18" s="1812">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75"/>
      <c r="Q19" s="1811" t="str">
        <f>B19</f>
        <v>办公集聚程度</v>
      </c>
      <c r="R19" s="772" t="s">
        <v>17</v>
      </c>
      <c r="S19" s="773">
        <f>F19</f>
        <v>100</v>
      </c>
      <c r="T19" s="772" t="s">
        <v>17</v>
      </c>
      <c r="U19" s="773">
        <f>H19</f>
        <v>100</v>
      </c>
      <c r="V19" s="772" t="s">
        <v>17</v>
      </c>
      <c r="W19" s="773">
        <f>J19</f>
        <v>100</v>
      </c>
      <c r="X19" s="1814"/>
      <c r="Y19" s="3275"/>
      <c r="Z19" s="1815" t="str">
        <f>Q19</f>
        <v>办公集聚程度</v>
      </c>
      <c r="AA19" s="1812">
        <f t="shared" si="3"/>
        <v>1</v>
      </c>
      <c r="AB19" s="1812">
        <f t="shared" si="4"/>
        <v>1</v>
      </c>
      <c r="AC19" s="1812">
        <f t="shared" si="5"/>
        <v>1</v>
      </c>
    </row>
    <row r="20" spans="1:29" ht="15">
      <c r="A20" s="428"/>
      <c r="B20" s="456"/>
      <c r="C20" s="447"/>
      <c r="D20" s="448"/>
      <c r="E20" s="2608"/>
      <c r="F20" s="448"/>
      <c r="G20" s="2608"/>
      <c r="H20" s="448"/>
      <c r="I20" s="2607"/>
      <c r="J20" s="448"/>
      <c r="K20" s="672"/>
      <c r="L20" s="1141"/>
      <c r="M20" s="1132"/>
      <c r="N20" s="1132"/>
      <c r="O20" s="1140"/>
      <c r="P20" s="3275"/>
      <c r="Q20" s="1811"/>
      <c r="R20" s="772"/>
      <c r="S20" s="773"/>
      <c r="T20" s="772"/>
      <c r="U20" s="773"/>
      <c r="V20" s="772"/>
      <c r="W20" s="773"/>
      <c r="X20" s="1814"/>
      <c r="Y20" s="3275"/>
      <c r="Z20" s="1815"/>
      <c r="AA20" s="1812">
        <v>1</v>
      </c>
      <c r="AB20" s="1812">
        <v>1</v>
      </c>
      <c r="AC20" s="1812">
        <v>1</v>
      </c>
    </row>
    <row r="21" spans="1:29" ht="85.5">
      <c r="A21" s="428"/>
      <c r="B21" s="451" t="s">
        <v>2704</v>
      </c>
      <c r="C21" s="2610" t="str">
        <f>估价对象房地状况!C18</f>
        <v>周边有28、53、621、638路等多条公交线路及地铁10、14号线经过，交通便捷度较好。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75"/>
      <c r="Q21" s="1811" t="str">
        <f>B21</f>
        <v>交通便捷度</v>
      </c>
      <c r="R21" s="772" t="s">
        <v>17</v>
      </c>
      <c r="S21" s="773">
        <f>F21</f>
        <v>100</v>
      </c>
      <c r="T21" s="772" t="s">
        <v>17</v>
      </c>
      <c r="U21" s="773">
        <f>H21</f>
        <v>100</v>
      </c>
      <c r="V21" s="772" t="s">
        <v>17</v>
      </c>
      <c r="W21" s="773">
        <f>J21</f>
        <v>100</v>
      </c>
      <c r="X21" s="1814"/>
      <c r="Y21" s="3275"/>
      <c r="Z21" s="1815" t="str">
        <f>Q21</f>
        <v>交通便捷度</v>
      </c>
      <c r="AA21" s="1812">
        <f t="shared" si="3"/>
        <v>1</v>
      </c>
      <c r="AB21" s="1812">
        <f t="shared" si="4"/>
        <v>1</v>
      </c>
      <c r="AC21" s="1812">
        <f t="shared" si="5"/>
        <v>1</v>
      </c>
    </row>
    <row r="22" spans="1:29" ht="15">
      <c r="A22" s="428"/>
      <c r="B22" s="1385"/>
      <c r="C22" s="447"/>
      <c r="D22" s="450"/>
      <c r="E22" s="2608"/>
      <c r="F22" s="448"/>
      <c r="G22" s="2608"/>
      <c r="H22" s="448"/>
      <c r="I22" s="2607"/>
      <c r="J22" s="448"/>
      <c r="K22" s="672"/>
      <c r="L22" s="1141"/>
      <c r="M22" s="1132"/>
      <c r="N22" s="1132"/>
      <c r="O22" s="1140"/>
      <c r="P22" s="3275"/>
      <c r="Q22" s="1811"/>
      <c r="R22" s="772"/>
      <c r="S22" s="773"/>
      <c r="T22" s="772"/>
      <c r="U22" s="773"/>
      <c r="V22" s="772"/>
      <c r="W22" s="773"/>
      <c r="X22" s="1814"/>
      <c r="Y22" s="3275"/>
      <c r="Z22" s="1815"/>
      <c r="AA22" s="1812">
        <v>1</v>
      </c>
      <c r="AB22" s="1812">
        <v>1</v>
      </c>
      <c r="AC22" s="1812">
        <v>1</v>
      </c>
    </row>
    <row r="23" spans="1:29" ht="15">
      <c r="A23" s="404"/>
      <c r="B23" s="451" t="s">
        <v>2743</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75"/>
      <c r="Q23" s="1811" t="str">
        <f t="shared" ref="Q23:Q37" si="8">B23</f>
        <v>区域土地利用方向</v>
      </c>
      <c r="R23" s="772" t="s">
        <v>17</v>
      </c>
      <c r="S23" s="773">
        <f>F23</f>
        <v>100</v>
      </c>
      <c r="T23" s="772" t="s">
        <v>17</v>
      </c>
      <c r="U23" s="773">
        <f>H23</f>
        <v>100</v>
      </c>
      <c r="V23" s="772" t="s">
        <v>17</v>
      </c>
      <c r="W23" s="773">
        <f>J23</f>
        <v>100</v>
      </c>
      <c r="X23" s="1814"/>
      <c r="Y23" s="3275"/>
      <c r="Z23" s="1815" t="str">
        <f>Q23</f>
        <v>区域土地利用方向</v>
      </c>
      <c r="AA23" s="1812">
        <f t="shared" si="3"/>
        <v>1</v>
      </c>
      <c r="AB23" s="1812">
        <f t="shared" si="4"/>
        <v>1</v>
      </c>
      <c r="AC23" s="1812">
        <f t="shared" si="5"/>
        <v>1</v>
      </c>
    </row>
    <row r="24" spans="1:29" ht="15">
      <c r="A24" s="404"/>
      <c r="B24" s="456"/>
      <c r="C24" s="616"/>
      <c r="D24" s="448"/>
      <c r="E24" s="2608"/>
      <c r="F24" s="448"/>
      <c r="G24" s="2607"/>
      <c r="H24" s="448"/>
      <c r="I24" s="2607"/>
      <c r="J24" s="448"/>
      <c r="K24" s="810"/>
      <c r="L24" s="1141"/>
      <c r="M24" s="1132"/>
      <c r="N24" s="1132"/>
      <c r="O24" s="1140"/>
      <c r="P24" s="3275"/>
      <c r="Q24" s="1811"/>
      <c r="R24" s="772"/>
      <c r="S24" s="773"/>
      <c r="T24" s="772"/>
      <c r="U24" s="773"/>
      <c r="V24" s="772"/>
      <c r="W24" s="773"/>
      <c r="X24" s="1814"/>
      <c r="Y24" s="3275"/>
      <c r="Z24" s="1815"/>
      <c r="AA24" s="1812"/>
      <c r="AB24" s="1812"/>
      <c r="AC24" s="1812"/>
    </row>
    <row r="25" spans="1:29" ht="85.5">
      <c r="A25" s="404"/>
      <c r="B25" s="1385" t="s">
        <v>2744</v>
      </c>
      <c r="C25" s="2667" t="str">
        <f>估价对象房地状况!C20</f>
        <v>周边2公里内有龙潭湖、北京工业大学等，周边无大型污染源，综合考虑自然及人文环境较好。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75"/>
      <c r="Q25" s="1811" t="str">
        <f t="shared" si="8"/>
        <v>自然及人文环境状况</v>
      </c>
      <c r="R25" s="772" t="s">
        <v>17</v>
      </c>
      <c r="S25" s="773">
        <f>F25</f>
        <v>100</v>
      </c>
      <c r="T25" s="772" t="s">
        <v>17</v>
      </c>
      <c r="U25" s="773">
        <f>H25</f>
        <v>100</v>
      </c>
      <c r="V25" s="772" t="s">
        <v>17</v>
      </c>
      <c r="W25" s="773">
        <f>J25</f>
        <v>100</v>
      </c>
      <c r="X25" s="1814"/>
      <c r="Y25" s="3275"/>
      <c r="Z25" s="1815" t="str">
        <f>Q25</f>
        <v>自然及人文环境状况</v>
      </c>
      <c r="AA25" s="1812">
        <f t="shared" si="3"/>
        <v>1</v>
      </c>
      <c r="AB25" s="1812">
        <f t="shared" si="4"/>
        <v>1</v>
      </c>
      <c r="AC25" s="1812">
        <f t="shared" si="5"/>
        <v>1</v>
      </c>
    </row>
    <row r="26" spans="1:29" ht="15">
      <c r="A26" s="404"/>
      <c r="B26" s="456"/>
      <c r="C26" s="447"/>
      <c r="D26" s="448"/>
      <c r="E26" s="2614"/>
      <c r="F26" s="448"/>
      <c r="G26" s="2614"/>
      <c r="H26" s="448"/>
      <c r="I26" s="447"/>
      <c r="J26" s="448"/>
      <c r="K26" s="672"/>
      <c r="L26" s="1141"/>
      <c r="M26" s="1132"/>
      <c r="N26" s="1132"/>
      <c r="O26" s="1140"/>
      <c r="P26" s="3275"/>
      <c r="Q26" s="1811"/>
      <c r="R26" s="772"/>
      <c r="S26" s="773"/>
      <c r="T26" s="772"/>
      <c r="U26" s="773"/>
      <c r="V26" s="772"/>
      <c r="W26" s="773"/>
      <c r="X26" s="1814"/>
      <c r="Y26" s="3275"/>
      <c r="Z26" s="1815"/>
      <c r="AA26" s="1812">
        <v>1</v>
      </c>
      <c r="AB26" s="1812">
        <v>1</v>
      </c>
      <c r="AC26" s="1812">
        <v>1</v>
      </c>
    </row>
    <row r="27" spans="1:29" s="117" customFormat="1" ht="85.5">
      <c r="A27" s="649"/>
      <c r="B27" s="1385" t="s">
        <v>2649</v>
      </c>
      <c r="C27" s="2610" t="str">
        <f>估价对象房地状况!C21</f>
        <v>周边有汉华购物中心、晓慧便民超市、北京中山医院等，公共服务配套设施齐备度较好。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75"/>
      <c r="Q27" s="1796" t="str">
        <f t="shared" si="8"/>
        <v>公共配套设施</v>
      </c>
      <c r="R27" s="768" t="s">
        <v>17</v>
      </c>
      <c r="S27" s="769">
        <f>F27</f>
        <v>100</v>
      </c>
      <c r="T27" s="768" t="s">
        <v>17</v>
      </c>
      <c r="U27" s="769">
        <f>H27</f>
        <v>100</v>
      </c>
      <c r="V27" s="768" t="s">
        <v>17</v>
      </c>
      <c r="W27" s="769">
        <f>J27</f>
        <v>100</v>
      </c>
      <c r="X27" s="770"/>
      <c r="Y27" s="3275"/>
      <c r="Z27" s="55" t="str">
        <f>Q27</f>
        <v>公共配套设施</v>
      </c>
      <c r="AA27" s="1812">
        <f>D27/F27</f>
        <v>1</v>
      </c>
      <c r="AB27" s="1812">
        <f>D27/H27</f>
        <v>1</v>
      </c>
      <c r="AC27" s="1812">
        <f>D27/J27</f>
        <v>1</v>
      </c>
    </row>
    <row r="28" spans="1:29" s="117" customFormat="1" ht="15">
      <c r="A28" s="649"/>
      <c r="B28" s="456"/>
      <c r="C28" s="2703"/>
      <c r="D28" s="448"/>
      <c r="E28" s="2614"/>
      <c r="F28" s="448"/>
      <c r="G28" s="2614"/>
      <c r="H28" s="448"/>
      <c r="I28" s="447"/>
      <c r="J28" s="448"/>
      <c r="K28" s="672"/>
      <c r="L28" s="1133"/>
      <c r="M28" s="1134"/>
      <c r="N28" s="1134"/>
      <c r="O28" s="1135"/>
      <c r="P28" s="3275"/>
      <c r="Q28" s="1796"/>
      <c r="R28" s="768"/>
      <c r="S28" s="769"/>
      <c r="T28" s="768"/>
      <c r="U28" s="769"/>
      <c r="V28" s="768"/>
      <c r="W28" s="769"/>
      <c r="X28" s="770"/>
      <c r="Y28" s="3275"/>
      <c r="Z28" s="55"/>
      <c r="AA28" s="1812">
        <v>1</v>
      </c>
      <c r="AB28" s="1812">
        <v>1</v>
      </c>
      <c r="AC28" s="1812">
        <v>1</v>
      </c>
    </row>
    <row r="29" spans="1:29" s="117" customFormat="1" ht="42.75">
      <c r="A29" s="649"/>
      <c r="B29" s="1385" t="s">
        <v>2650</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75"/>
      <c r="Q29" s="1796" t="str">
        <f t="shared" ref="Q29" si="9">B29</f>
        <v>基础设施水平</v>
      </c>
      <c r="R29" s="768" t="s">
        <v>17</v>
      </c>
      <c r="S29" s="769">
        <f>F29</f>
        <v>100</v>
      </c>
      <c r="T29" s="768" t="s">
        <v>17</v>
      </c>
      <c r="U29" s="769">
        <f>H29</f>
        <v>100</v>
      </c>
      <c r="V29" s="768" t="s">
        <v>17</v>
      </c>
      <c r="W29" s="769">
        <f>J29</f>
        <v>100</v>
      </c>
      <c r="X29" s="770"/>
      <c r="Y29" s="3275"/>
      <c r="Z29" s="55" t="str">
        <f>Q29</f>
        <v>基础设施水平</v>
      </c>
      <c r="AA29" s="1812">
        <f>D29/F29</f>
        <v>1</v>
      </c>
      <c r="AB29" s="1812">
        <f>D29/H29</f>
        <v>1</v>
      </c>
      <c r="AC29" s="1812">
        <f>D29/J29</f>
        <v>1</v>
      </c>
    </row>
    <row r="30" spans="1:29" s="117" customFormat="1" ht="15">
      <c r="A30" s="649"/>
      <c r="B30" s="456"/>
      <c r="C30" s="2703"/>
      <c r="D30" s="448"/>
      <c r="E30" s="2704"/>
      <c r="F30" s="448"/>
      <c r="G30" s="2704"/>
      <c r="H30" s="448"/>
      <c r="I30" s="2704"/>
      <c r="J30" s="448"/>
      <c r="K30" s="672"/>
      <c r="L30" s="1133"/>
      <c r="M30" s="1134"/>
      <c r="N30" s="1134"/>
      <c r="O30" s="1135"/>
      <c r="P30" s="3275"/>
      <c r="Q30" s="1796"/>
      <c r="R30" s="768"/>
      <c r="S30" s="769"/>
      <c r="T30" s="768"/>
      <c r="U30" s="769"/>
      <c r="V30" s="768"/>
      <c r="W30" s="769"/>
      <c r="X30" s="770"/>
      <c r="Y30" s="3275"/>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75"/>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75"/>
      <c r="Z31" s="1815" t="str">
        <f t="shared" ref="Z31:Z45" si="13">Q31</f>
        <v>临街状况</v>
      </c>
      <c r="AA31" s="1812">
        <f t="shared" si="3"/>
        <v>1</v>
      </c>
      <c r="AB31" s="1812">
        <f t="shared" si="4"/>
        <v>1</v>
      </c>
      <c r="AC31" s="1812">
        <f t="shared" si="5"/>
        <v>1</v>
      </c>
    </row>
    <row r="32" spans="1:29" ht="27">
      <c r="A32" s="428"/>
      <c r="B32" s="1385"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75"/>
      <c r="Q32" s="1811" t="str">
        <f t="shared" si="8"/>
        <v>毗邻道路的类型与等级</v>
      </c>
      <c r="R32" s="772" t="s">
        <v>17</v>
      </c>
      <c r="S32" s="773">
        <f t="shared" si="10"/>
        <v>100</v>
      </c>
      <c r="T32" s="772" t="s">
        <v>17</v>
      </c>
      <c r="U32" s="773">
        <f t="shared" si="11"/>
        <v>100</v>
      </c>
      <c r="V32" s="772" t="s">
        <v>17</v>
      </c>
      <c r="W32" s="773">
        <f t="shared" si="12"/>
        <v>100</v>
      </c>
      <c r="X32" s="1814"/>
      <c r="Y32" s="3275"/>
      <c r="Z32" s="1815" t="str">
        <f t="shared" si="13"/>
        <v>毗邻道路的类型与等级</v>
      </c>
      <c r="AA32" s="1812">
        <f t="shared" si="3"/>
        <v>1</v>
      </c>
      <c r="AB32" s="1812">
        <f t="shared" si="4"/>
        <v>1</v>
      </c>
      <c r="AC32" s="1812">
        <f t="shared" si="5"/>
        <v>1</v>
      </c>
    </row>
    <row r="33" spans="1:29" ht="15">
      <c r="A33" s="428"/>
      <c r="B33" s="456"/>
      <c r="C33" s="447"/>
      <c r="D33" s="448"/>
      <c r="E33" s="2614"/>
      <c r="F33" s="448"/>
      <c r="G33" s="2614"/>
      <c r="H33" s="448"/>
      <c r="I33" s="447"/>
      <c r="J33" s="448"/>
      <c r="K33" s="613"/>
      <c r="L33" s="1141"/>
      <c r="M33" s="1132"/>
      <c r="N33" s="1132"/>
      <c r="O33" s="1140"/>
      <c r="P33" s="3275"/>
      <c r="Q33" s="1811"/>
      <c r="R33" s="772"/>
      <c r="S33" s="773"/>
      <c r="T33" s="772"/>
      <c r="U33" s="773"/>
      <c r="V33" s="772"/>
      <c r="W33" s="773"/>
      <c r="X33" s="1814"/>
      <c r="Y33" s="3275"/>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75"/>
      <c r="Q34" s="1811" t="str">
        <f t="shared" si="8"/>
        <v>土地级别</v>
      </c>
      <c r="R34" s="772" t="s">
        <v>17</v>
      </c>
      <c r="S34" s="773">
        <f t="shared" si="10"/>
        <v>100</v>
      </c>
      <c r="T34" s="772" t="s">
        <v>17</v>
      </c>
      <c r="U34" s="773">
        <f t="shared" si="11"/>
        <v>100</v>
      </c>
      <c r="V34" s="772" t="s">
        <v>17</v>
      </c>
      <c r="W34" s="773">
        <f t="shared" si="12"/>
        <v>100</v>
      </c>
      <c r="X34" s="1814"/>
      <c r="Y34" s="3275"/>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75"/>
      <c r="Q35" s="1811">
        <f t="shared" si="8"/>
        <v>111</v>
      </c>
      <c r="R35" s="772" t="s">
        <v>17</v>
      </c>
      <c r="S35" s="773">
        <f t="shared" si="10"/>
        <v>100</v>
      </c>
      <c r="T35" s="772" t="s">
        <v>17</v>
      </c>
      <c r="U35" s="773">
        <f t="shared" si="11"/>
        <v>100</v>
      </c>
      <c r="V35" s="772" t="s">
        <v>17</v>
      </c>
      <c r="W35" s="773">
        <f t="shared" si="12"/>
        <v>100</v>
      </c>
      <c r="X35" s="1814"/>
      <c r="Y35" s="3275"/>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29" t="s">
        <v>2560</v>
      </c>
      <c r="Q36" s="1811">
        <f t="shared" si="8"/>
        <v>111</v>
      </c>
      <c r="R36" s="772" t="s">
        <v>17</v>
      </c>
      <c r="S36" s="773">
        <f t="shared" si="10"/>
        <v>100</v>
      </c>
      <c r="T36" s="772" t="s">
        <v>17</v>
      </c>
      <c r="U36" s="773">
        <f t="shared" si="11"/>
        <v>100</v>
      </c>
      <c r="V36" s="772" t="s">
        <v>17</v>
      </c>
      <c r="W36" s="773">
        <f t="shared" si="12"/>
        <v>100</v>
      </c>
      <c r="X36" s="1814"/>
      <c r="Y36" s="3279"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79"/>
      <c r="Q37" s="1811">
        <f t="shared" si="8"/>
        <v>111</v>
      </c>
      <c r="R37" s="775" t="s">
        <v>17</v>
      </c>
      <c r="S37" s="776">
        <f t="shared" si="10"/>
        <v>100</v>
      </c>
      <c r="T37" s="775" t="s">
        <v>17</v>
      </c>
      <c r="U37" s="776">
        <f t="shared" si="11"/>
        <v>100</v>
      </c>
      <c r="V37" s="775" t="s">
        <v>17</v>
      </c>
      <c r="W37" s="776">
        <f t="shared" si="12"/>
        <v>100</v>
      </c>
      <c r="X37" s="777"/>
      <c r="Y37" s="3279"/>
      <c r="Z37" s="778">
        <f t="shared" si="13"/>
        <v>111</v>
      </c>
      <c r="AA37" s="1812">
        <f t="shared" si="3"/>
        <v>1</v>
      </c>
      <c r="AB37" s="1812">
        <f t="shared" si="4"/>
        <v>1</v>
      </c>
      <c r="AC37" s="1812">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79"/>
      <c r="Q38" s="1811" t="str">
        <f>B38</f>
        <v>宗地面积</v>
      </c>
      <c r="R38" s="772" t="s">
        <v>17</v>
      </c>
      <c r="S38" s="773" t="e">
        <f t="shared" si="10"/>
        <v>#N/A</v>
      </c>
      <c r="T38" s="772" t="s">
        <v>17</v>
      </c>
      <c r="U38" s="773" t="e">
        <f t="shared" si="11"/>
        <v>#N/A</v>
      </c>
      <c r="V38" s="772" t="s">
        <v>17</v>
      </c>
      <c r="W38" s="773" t="e">
        <f t="shared" si="12"/>
        <v>#N/A</v>
      </c>
      <c r="X38" s="1814"/>
      <c r="Y38" s="3279"/>
      <c r="Z38" s="1815" t="str">
        <f t="shared" si="13"/>
        <v>宗地面积</v>
      </c>
      <c r="AA38" s="1812" t="e">
        <f t="shared" si="3"/>
        <v>#N/A</v>
      </c>
      <c r="AB38" s="1812" t="e">
        <f t="shared" si="4"/>
        <v>#N/A</v>
      </c>
      <c r="AC38" s="1812"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79"/>
      <c r="Q39" s="1811" t="str">
        <f t="shared" ref="Q39:Q45" si="14">B39</f>
        <v>宗地形状</v>
      </c>
      <c r="R39" s="772" t="s">
        <v>17</v>
      </c>
      <c r="S39" s="773">
        <f t="shared" si="10"/>
        <v>100</v>
      </c>
      <c r="T39" s="772" t="s">
        <v>17</v>
      </c>
      <c r="U39" s="773">
        <f t="shared" si="11"/>
        <v>100</v>
      </c>
      <c r="V39" s="772" t="s">
        <v>17</v>
      </c>
      <c r="W39" s="773">
        <f t="shared" si="12"/>
        <v>100</v>
      </c>
      <c r="X39" s="1814"/>
      <c r="Y39" s="3279"/>
      <c r="Z39" s="1815" t="str">
        <f t="shared" si="13"/>
        <v>宗地形状</v>
      </c>
      <c r="AA39" s="1812">
        <f t="shared" si="3"/>
        <v>1</v>
      </c>
      <c r="AB39" s="1812">
        <f t="shared" si="4"/>
        <v>1</v>
      </c>
      <c r="AC39" s="1812">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79"/>
      <c r="Q40" s="1811" t="str">
        <f t="shared" si="14"/>
        <v>临街宽度及深度</v>
      </c>
      <c r="R40" s="772" t="s">
        <v>17</v>
      </c>
      <c r="S40" s="773">
        <f t="shared" si="10"/>
        <v>100</v>
      </c>
      <c r="T40" s="772" t="s">
        <v>17</v>
      </c>
      <c r="U40" s="773">
        <f t="shared" si="11"/>
        <v>100</v>
      </c>
      <c r="V40" s="772" t="s">
        <v>17</v>
      </c>
      <c r="W40" s="773">
        <f t="shared" si="12"/>
        <v>100</v>
      </c>
      <c r="X40" s="1814"/>
      <c r="Y40" s="3279"/>
      <c r="Z40" s="1815" t="str">
        <f t="shared" si="13"/>
        <v>临街宽度及深度</v>
      </c>
      <c r="AA40" s="1812">
        <f t="shared" si="3"/>
        <v>1</v>
      </c>
      <c r="AB40" s="1812">
        <f t="shared" si="4"/>
        <v>1</v>
      </c>
      <c r="AC40" s="1812">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79"/>
      <c r="Q41" s="1811" t="str">
        <f t="shared" si="14"/>
        <v>宗地开发程度</v>
      </c>
      <c r="R41" s="768" t="s">
        <v>17</v>
      </c>
      <c r="S41" s="769">
        <f t="shared" si="10"/>
        <v>100</v>
      </c>
      <c r="T41" s="768" t="s">
        <v>17</v>
      </c>
      <c r="U41" s="769">
        <f t="shared" si="11"/>
        <v>100</v>
      </c>
      <c r="V41" s="768" t="s">
        <v>17</v>
      </c>
      <c r="W41" s="769">
        <f t="shared" si="12"/>
        <v>100</v>
      </c>
      <c r="X41" s="770"/>
      <c r="Y41" s="3279"/>
      <c r="Z41" s="55" t="str">
        <f t="shared" si="13"/>
        <v>宗地开发程度</v>
      </c>
      <c r="AA41" s="771">
        <f t="shared" si="3"/>
        <v>1</v>
      </c>
      <c r="AB41" s="771">
        <f t="shared" si="4"/>
        <v>1</v>
      </c>
      <c r="AC41" s="771">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79" t="s">
        <v>2560</v>
      </c>
      <c r="Q42" s="1811" t="str">
        <f t="shared" si="14"/>
        <v>工程地质条件</v>
      </c>
      <c r="R42" s="772" t="s">
        <v>17</v>
      </c>
      <c r="S42" s="773">
        <f t="shared" si="10"/>
        <v>100</v>
      </c>
      <c r="T42" s="772" t="s">
        <v>17</v>
      </c>
      <c r="U42" s="773">
        <f t="shared" si="11"/>
        <v>100</v>
      </c>
      <c r="V42" s="772" t="s">
        <v>17</v>
      </c>
      <c r="W42" s="773">
        <f t="shared" si="12"/>
        <v>100</v>
      </c>
      <c r="X42" s="1814"/>
      <c r="Y42" s="3279"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79"/>
      <c r="Q43" s="1811">
        <f t="shared" si="14"/>
        <v>111</v>
      </c>
      <c r="R43" s="772" t="s">
        <v>17</v>
      </c>
      <c r="S43" s="773">
        <f t="shared" si="10"/>
        <v>100</v>
      </c>
      <c r="T43" s="772" t="s">
        <v>17</v>
      </c>
      <c r="U43" s="773">
        <f t="shared" si="11"/>
        <v>100</v>
      </c>
      <c r="V43" s="772" t="s">
        <v>17</v>
      </c>
      <c r="W43" s="773">
        <f t="shared" si="12"/>
        <v>100</v>
      </c>
      <c r="X43" s="1814"/>
      <c r="Y43" s="3279"/>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79"/>
      <c r="Q44" s="1811">
        <f t="shared" si="14"/>
        <v>111</v>
      </c>
      <c r="R44" s="772" t="s">
        <v>17</v>
      </c>
      <c r="S44" s="773">
        <f t="shared" si="10"/>
        <v>100</v>
      </c>
      <c r="T44" s="772" t="s">
        <v>17</v>
      </c>
      <c r="U44" s="773">
        <f t="shared" si="11"/>
        <v>100</v>
      </c>
      <c r="V44" s="772" t="s">
        <v>17</v>
      </c>
      <c r="W44" s="773">
        <f t="shared" si="12"/>
        <v>100</v>
      </c>
      <c r="X44" s="1814"/>
      <c r="Y44" s="3279"/>
      <c r="Z44" s="1815">
        <f t="shared" si="13"/>
        <v>111</v>
      </c>
      <c r="AA44" s="1812">
        <f t="shared" si="3"/>
        <v>1</v>
      </c>
      <c r="AB44" s="1812">
        <f t="shared" si="4"/>
        <v>1</v>
      </c>
      <c r="AC44" s="1812">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79"/>
      <c r="Q45" s="1811">
        <f t="shared" si="14"/>
        <v>111</v>
      </c>
      <c r="R45" s="775" t="s">
        <v>17</v>
      </c>
      <c r="S45" s="776">
        <f t="shared" si="10"/>
        <v>100</v>
      </c>
      <c r="T45" s="775" t="s">
        <v>17</v>
      </c>
      <c r="U45" s="776">
        <f t="shared" si="11"/>
        <v>100</v>
      </c>
      <c r="V45" s="775" t="s">
        <v>17</v>
      </c>
      <c r="W45" s="776">
        <f t="shared" si="12"/>
        <v>100</v>
      </c>
      <c r="X45" s="777"/>
      <c r="Y45" s="3279"/>
      <c r="Z45" s="778">
        <f t="shared" si="13"/>
        <v>111</v>
      </c>
      <c r="AA45" s="1812">
        <f t="shared" si="3"/>
        <v>1</v>
      </c>
      <c r="AB45" s="1812">
        <f t="shared" si="4"/>
        <v>1</v>
      </c>
      <c r="AC45" s="1812">
        <f t="shared" si="5"/>
        <v>1</v>
      </c>
    </row>
    <row r="46" spans="1:29" ht="15">
      <c r="A46" s="479" t="s">
        <v>2715</v>
      </c>
      <c r="B46" s="2707" t="s">
        <v>2751</v>
      </c>
      <c r="C46" s="682" t="s">
        <v>1</v>
      </c>
      <c r="D46" s="481"/>
      <c r="E46" s="482"/>
      <c r="F46" s="483"/>
      <c r="G46" s="484"/>
      <c r="H46" s="485"/>
      <c r="I46" s="482"/>
      <c r="J46" s="485"/>
      <c r="K46" s="781"/>
      <c r="L46" s="1144"/>
      <c r="M46" s="1145"/>
      <c r="N46" s="1132"/>
      <c r="O46" s="1145"/>
      <c r="P46" s="3281" t="str">
        <f>A46</f>
        <v>成交单价</v>
      </c>
      <c r="Q46" s="3281"/>
      <c r="R46" s="3241">
        <f>E46</f>
        <v>0</v>
      </c>
      <c r="S46" s="3241"/>
      <c r="T46" s="3241">
        <f>G46</f>
        <v>0</v>
      </c>
      <c r="U46" s="3241"/>
      <c r="V46" s="3241">
        <f>I46</f>
        <v>0</v>
      </c>
      <c r="W46" s="3241"/>
      <c r="X46" s="757"/>
      <c r="Y46" s="779"/>
      <c r="Z46" s="757"/>
      <c r="AA46" s="757"/>
      <c r="AB46" s="757"/>
      <c r="AC46" s="757"/>
    </row>
    <row r="47" spans="1:29" ht="15.75" thickBot="1">
      <c r="A47" s="486" t="s">
        <v>2664</v>
      </c>
      <c r="B47" s="683"/>
      <c r="C47" s="490" t="e">
        <f>R48</f>
        <v>#DIV/0!</v>
      </c>
      <c r="D47" s="489"/>
      <c r="E47" s="490" t="e">
        <f>R47</f>
        <v>#DIV/0!</v>
      </c>
      <c r="F47" s="491"/>
      <c r="G47" s="488" t="e">
        <f>T47</f>
        <v>#DIV/0!</v>
      </c>
      <c r="H47" s="489"/>
      <c r="I47" s="490" t="e">
        <f>V47</f>
        <v>#DIV/0!</v>
      </c>
      <c r="J47" s="489"/>
      <c r="K47" s="782"/>
      <c r="L47" s="1144"/>
      <c r="M47" s="1145"/>
      <c r="N47" s="1145"/>
      <c r="O47" s="1145"/>
      <c r="P47" s="3281" t="str">
        <f>A47</f>
        <v>比较价值（元/平方米）</v>
      </c>
      <c r="Q47" s="3281"/>
      <c r="R47" s="3330" t="e">
        <f>ROUND(PRODUCT(R46,AA7:AA45),0)</f>
        <v>#DIV/0!</v>
      </c>
      <c r="S47" s="3330"/>
      <c r="T47" s="3330" t="e">
        <f>ROUND(PRODUCT(T46,AB7:AB45),0)</f>
        <v>#DIV/0!</v>
      </c>
      <c r="U47" s="3330"/>
      <c r="V47" s="3330" t="e">
        <f>ROUND(PRODUCT(V46,AC7:AC45),0)</f>
        <v>#DIV/0!</v>
      </c>
      <c r="W47" s="3330"/>
      <c r="X47" s="757"/>
      <c r="Y47" s="757"/>
      <c r="Z47" s="757"/>
      <c r="AA47" s="757"/>
      <c r="AB47" s="757"/>
      <c r="AC47" s="757"/>
    </row>
    <row r="48" spans="1:29" ht="15.75" thickBot="1">
      <c r="A48" s="492" t="s">
        <v>2752</v>
      </c>
      <c r="B48" s="493"/>
      <c r="C48" s="494" t="e">
        <f>R48</f>
        <v>#DIV/0!</v>
      </c>
      <c r="D48" s="494"/>
      <c r="E48" s="494"/>
      <c r="F48" s="494"/>
      <c r="G48" s="494"/>
      <c r="H48" s="494"/>
      <c r="I48" s="494"/>
      <c r="J48" s="494"/>
      <c r="K48" s="783"/>
      <c r="L48" s="1144"/>
      <c r="M48" s="1145"/>
      <c r="N48" s="1145"/>
      <c r="O48" s="1145"/>
      <c r="P48" s="3283" t="str">
        <f>A48</f>
        <v>估价对象XX用房的比较价值（楼面单价，元/平方米）</v>
      </c>
      <c r="Q48" s="3284"/>
      <c r="R48" s="3331" t="e">
        <f>ROUND(AVERAGE(R47:V47),0)</f>
        <v>#DIV/0!</v>
      </c>
      <c r="S48" s="3331"/>
      <c r="T48" s="3331"/>
      <c r="U48" s="3331"/>
      <c r="V48" s="3331"/>
      <c r="W48" s="333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8" t="s">
        <v>2755</v>
      </c>
      <c r="D55" s="2709" t="s">
        <v>2756</v>
      </c>
      <c r="E55" s="686" t="s">
        <v>2757</v>
      </c>
      <c r="F55" s="1108" t="s">
        <v>2758</v>
      </c>
      <c r="G55" s="3259" t="s">
        <v>2759</v>
      </c>
      <c r="H55" s="3332"/>
      <c r="I55" s="144" t="s">
        <v>2760</v>
      </c>
      <c r="J55" s="2710">
        <f>项目基本情况!F35</f>
        <v>0</v>
      </c>
      <c r="K55" s="2711" t="s">
        <v>2761</v>
      </c>
      <c r="L55" s="1107"/>
      <c r="M55" s="1145"/>
      <c r="N55" s="1145"/>
      <c r="O55" s="1145"/>
    </row>
    <row r="56" spans="1:15" s="692" customFormat="1">
      <c r="A56" s="688" t="s">
        <v>2762</v>
      </c>
      <c r="B56" s="689" t="e">
        <f>C48</f>
        <v>#DIV/0!</v>
      </c>
      <c r="C56" s="690">
        <v>1</v>
      </c>
      <c r="D56" s="1164">
        <v>1</v>
      </c>
      <c r="E56" s="690">
        <f>'数据-汇总表'!E8+'数据-汇总表'!E9</f>
        <v>1394.13</v>
      </c>
      <c r="F56" s="1104" t="e">
        <f t="shared" ref="F56:F65" si="15">ROUND(B56*E56/10000,0)</f>
        <v>#DIV/0!</v>
      </c>
      <c r="G56" s="3258"/>
      <c r="H56" s="3281"/>
      <c r="I56" s="1109">
        <v>1</v>
      </c>
      <c r="J56" s="1112">
        <v>1</v>
      </c>
      <c r="K56" s="1146"/>
      <c r="L56" s="942"/>
      <c r="M56" s="942"/>
      <c r="N56" s="942"/>
      <c r="O56" s="942"/>
    </row>
    <row r="57" spans="1:15" s="692" customFormat="1">
      <c r="A57" s="693" t="s">
        <v>2763</v>
      </c>
      <c r="B57" s="262" t="e">
        <f>ROUND($C$48*C57*D57,0)</f>
        <v>#DIV/0!</v>
      </c>
      <c r="C57" s="200">
        <f t="shared" ref="C57:C65" si="16">IF($C$55="北京市系数",I57,J57)</f>
        <v>0</v>
      </c>
      <c r="D57" s="1165">
        <v>0.25</v>
      </c>
      <c r="E57" s="694"/>
      <c r="F57" s="1104" t="e">
        <f t="shared" si="15"/>
        <v>#DIV/0!</v>
      </c>
      <c r="G57" s="3333" t="s">
        <v>2764</v>
      </c>
      <c r="H57" s="1105">
        <f>项目基本情况!B37</f>
        <v>0</v>
      </c>
      <c r="I57" s="1109">
        <f>SUMIF(修正!A45:A56,H57,修正!B45:B56)</f>
        <v>0</v>
      </c>
      <c r="J57" s="1113"/>
      <c r="K57" s="1145"/>
      <c r="L57" s="942"/>
      <c r="M57" s="942"/>
      <c r="N57" s="942"/>
      <c r="O57" s="942"/>
    </row>
    <row r="58" spans="1:15" s="692" customFormat="1">
      <c r="A58" s="693" t="s">
        <v>2765</v>
      </c>
      <c r="B58" s="262" t="e">
        <f t="shared" ref="B58:B65" si="17">ROUND($C$48*C58*D58,0)</f>
        <v>#DIV/0!</v>
      </c>
      <c r="C58" s="200">
        <f t="shared" si="16"/>
        <v>0</v>
      </c>
      <c r="D58" s="1165">
        <v>0.25</v>
      </c>
      <c r="E58" s="694"/>
      <c r="F58" s="1104" t="e">
        <f t="shared" si="15"/>
        <v>#DIV/0!</v>
      </c>
      <c r="G58" s="3333"/>
      <c r="H58" s="1105">
        <f>项目基本情况!B37</f>
        <v>0</v>
      </c>
      <c r="I58" s="1109">
        <f>SUMIF(修正!A45:A56,H58,修正!C45:C56)</f>
        <v>0</v>
      </c>
      <c r="J58" s="1113"/>
      <c r="K58" s="1146"/>
      <c r="L58" s="942"/>
      <c r="M58" s="942"/>
      <c r="N58" s="942"/>
      <c r="O58" s="942"/>
    </row>
    <row r="59" spans="1:15" s="692" customFormat="1">
      <c r="A59" s="693" t="s">
        <v>2766</v>
      </c>
      <c r="B59" s="262" t="e">
        <f t="shared" si="17"/>
        <v>#DIV/0!</v>
      </c>
      <c r="C59" s="200">
        <f t="shared" si="16"/>
        <v>0</v>
      </c>
      <c r="D59" s="1165">
        <v>0.25</v>
      </c>
      <c r="E59" s="694"/>
      <c r="F59" s="1104" t="e">
        <f t="shared" si="15"/>
        <v>#DIV/0!</v>
      </c>
      <c r="G59" s="3333"/>
      <c r="H59" s="1105">
        <f>项目基本情况!B37</f>
        <v>0</v>
      </c>
      <c r="I59" s="1109">
        <f>SUMIF(修正!A45:A56,H59,修正!D45:D56)</f>
        <v>0</v>
      </c>
      <c r="J59" s="1113"/>
      <c r="K59" s="1145"/>
      <c r="L59" s="942"/>
      <c r="M59" s="942"/>
      <c r="N59" s="942"/>
      <c r="O59" s="942"/>
    </row>
    <row r="60" spans="1:15" s="692" customFormat="1">
      <c r="A60" s="693" t="s">
        <v>2767</v>
      </c>
      <c r="B60" s="262" t="e">
        <f t="shared" si="17"/>
        <v>#DIV/0!</v>
      </c>
      <c r="C60" s="200">
        <f t="shared" si="16"/>
        <v>0</v>
      </c>
      <c r="D60" s="1165">
        <v>0.25</v>
      </c>
      <c r="E60" s="694"/>
      <c r="F60" s="1104" t="e">
        <f t="shared" si="15"/>
        <v>#DIV/0!</v>
      </c>
      <c r="G60" s="3333"/>
      <c r="H60" s="1105">
        <f>项目基本情况!B37</f>
        <v>0</v>
      </c>
      <c r="I60" s="1109">
        <f>SUMIF(修正!A45:A56,H60,修正!E45:E56)</f>
        <v>0</v>
      </c>
      <c r="J60" s="1113"/>
      <c r="K60" s="1146"/>
      <c r="L60" s="942"/>
      <c r="M60" s="942"/>
      <c r="N60" s="942"/>
      <c r="O60" s="942"/>
    </row>
    <row r="61" spans="1:15" s="692" customFormat="1">
      <c r="A61" s="693" t="s">
        <v>2768</v>
      </c>
      <c r="B61" s="262" t="e">
        <f t="shared" si="17"/>
        <v>#DIV/0!</v>
      </c>
      <c r="C61" s="200">
        <f t="shared" si="16"/>
        <v>0</v>
      </c>
      <c r="D61" s="1165">
        <v>0.25</v>
      </c>
      <c r="E61" s="261">
        <f>'数据-汇总表'!E11</f>
        <v>0</v>
      </c>
      <c r="F61" s="1104" t="e">
        <f t="shared" si="15"/>
        <v>#DIV/0!</v>
      </c>
      <c r="G61" s="2712" t="s">
        <v>2769</v>
      </c>
      <c r="H61" s="1105">
        <f>项目基本情况!C37</f>
        <v>0</v>
      </c>
      <c r="I61" s="1109">
        <f>SUMIF(修正!A45:A56,H61,修正!F45:F56)</f>
        <v>0</v>
      </c>
      <c r="J61" s="1113"/>
      <c r="K61" s="1145"/>
      <c r="L61" s="942"/>
      <c r="M61" s="942"/>
      <c r="N61" s="942"/>
      <c r="O61" s="942"/>
    </row>
    <row r="62" spans="1:15" s="692" customFormat="1">
      <c r="A62" s="693" t="s">
        <v>2770</v>
      </c>
      <c r="B62" s="262" t="e">
        <f t="shared" si="17"/>
        <v>#DIV/0!</v>
      </c>
      <c r="C62" s="200">
        <f t="shared" si="16"/>
        <v>0</v>
      </c>
      <c r="D62" s="1165">
        <v>0.25</v>
      </c>
      <c r="E62" s="261">
        <f>'数据-汇总表'!E12</f>
        <v>0</v>
      </c>
      <c r="F62" s="1104" t="e">
        <f t="shared" si="15"/>
        <v>#DIV/0!</v>
      </c>
      <c r="G62" s="1110" t="s">
        <v>2771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t="e">
        <f t="shared" si="17"/>
        <v>#DIV/0!</v>
      </c>
      <c r="C63" s="200">
        <f t="shared" si="16"/>
        <v>0</v>
      </c>
      <c r="D63" s="1165">
        <v>0.25</v>
      </c>
      <c r="E63" s="261">
        <f>'数据-汇总表'!E13</f>
        <v>0</v>
      </c>
      <c r="F63" s="1104" t="e">
        <f t="shared" si="15"/>
        <v>#DIV/0!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t="e">
        <f t="shared" si="17"/>
        <v>#DIV/0!</v>
      </c>
      <c r="C64" s="200">
        <f t="shared" si="16"/>
        <v>0</v>
      </c>
      <c r="D64" s="1165">
        <v>0.25</v>
      </c>
      <c r="E64" s="261">
        <f>'数据-汇总表'!E14</f>
        <v>0</v>
      </c>
      <c r="F64" s="1104" t="e">
        <f t="shared" si="15"/>
        <v>#DIV/0!</v>
      </c>
      <c r="G64" s="2712" t="s">
        <v>2764</v>
      </c>
      <c r="H64" s="1105">
        <f>项目基本情况!B37</f>
        <v>0</v>
      </c>
      <c r="I64" s="1109">
        <f>SUMIF(修正!A45:A56,H64,修正!H45:H56)</f>
        <v>0</v>
      </c>
      <c r="J64" s="1113"/>
      <c r="K64" s="1146"/>
      <c r="L64" s="942"/>
      <c r="M64" s="942"/>
      <c r="N64" s="942"/>
      <c r="O64" s="942"/>
    </row>
    <row r="65" spans="1:17" s="692" customFormat="1" ht="15" thickBot="1">
      <c r="A65" s="693" t="s">
        <v>2775</v>
      </c>
      <c r="B65" s="262" t="e">
        <f t="shared" si="17"/>
        <v>#DIV/0!</v>
      </c>
      <c r="C65" s="200">
        <f t="shared" si="16"/>
        <v>0</v>
      </c>
      <c r="D65" s="1165">
        <v>0.25</v>
      </c>
      <c r="E65" s="261">
        <f>'数据-汇总表'!E15</f>
        <v>0</v>
      </c>
      <c r="F65" s="1104" t="e">
        <f t="shared" si="15"/>
        <v>#DIV/0!</v>
      </c>
      <c r="G65" s="2713"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1029</v>
      </c>
      <c r="E66" s="696">
        <f>IF(B46="楼面地价",SUM(E56:E65),'数据-汇总表'!D3)</f>
        <v>1394.13</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14" t="s">
        <v>2777</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5"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2583</v>
      </c>
      <c r="B75" s="528" t="s">
        <v>2549</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2686</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2787</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2788</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2789</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2790</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4" stopIfTrue="1" operator="containsText" text="超过">
      <formula>NOT(ISERROR(SEARCH("超过",F51)))</formula>
    </cfRule>
  </conditionalFormatting>
  <conditionalFormatting sqref="J53">
    <cfRule type="containsText" dxfId="62" priority="13" stopIfTrue="1" operator="containsText" text="超过">
      <formula>NOT(ISERROR(SEARCH("超过",J53)))</formula>
    </cfRule>
  </conditionalFormatting>
  <conditionalFormatting sqref="H53">
    <cfRule type="containsText" dxfId="61" priority="12" stopIfTrue="1" operator="containsText" text="超过">
      <formula>NOT(ISERROR(SEARCH("超过",H53)))</formula>
    </cfRule>
  </conditionalFormatting>
  <conditionalFormatting sqref="F53">
    <cfRule type="containsText" dxfId="60" priority="11" stopIfTrue="1" operator="containsText" text="超过">
      <formula>NOT(ISERROR(SEARCH("超过",F53)))</formula>
    </cfRule>
  </conditionalFormatting>
  <conditionalFormatting sqref="F52 H52 J52">
    <cfRule type="containsText" dxfId="59" priority="10" stopIfTrue="1" operator="containsText" text="超过">
      <formula>NOT(ISERROR(SEARCH("超过",F52)))</formula>
    </cfRule>
  </conditionalFormatting>
  <conditionalFormatting sqref="E51">
    <cfRule type="expression" dxfId="58" priority="9" stopIfTrue="1">
      <formula>$F$51="超过30%"</formula>
    </cfRule>
  </conditionalFormatting>
  <conditionalFormatting sqref="G53">
    <cfRule type="expression" dxfId="57" priority="8" stopIfTrue="1">
      <formula>$H$53="超过30%"</formula>
    </cfRule>
  </conditionalFormatting>
  <conditionalFormatting sqref="E52">
    <cfRule type="expression" dxfId="56" priority="7" stopIfTrue="1">
      <formula>$F$52="超过20%"</formula>
    </cfRule>
  </conditionalFormatting>
  <conditionalFormatting sqref="E53">
    <cfRule type="expression" dxfId="55" priority="6" stopIfTrue="1">
      <formula>$F$53="超过30%"</formula>
    </cfRule>
  </conditionalFormatting>
  <conditionalFormatting sqref="G51">
    <cfRule type="expression" dxfId="54" priority="5" stopIfTrue="1">
      <formula>$H$53+$H$51="超过30%"</formula>
    </cfRule>
  </conditionalFormatting>
  <conditionalFormatting sqref="G52">
    <cfRule type="expression" dxfId="53" priority="4" stopIfTrue="1">
      <formula>$H$52="超过20%"</formula>
    </cfRule>
  </conditionalFormatting>
  <conditionalFormatting sqref="I51">
    <cfRule type="expression" dxfId="52" priority="3" stopIfTrue="1">
      <formula>$J$51="超过30%"</formula>
    </cfRule>
  </conditionalFormatting>
  <conditionalFormatting sqref="I52">
    <cfRule type="expression" dxfId="51" priority="2" stopIfTrue="1">
      <formula>$J$52="超过20%"</formula>
    </cfRule>
  </conditionalFormatting>
  <conditionalFormatting sqref="I53">
    <cfRule type="expression" dxfId="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9" t="s">
        <v>2641</v>
      </c>
      <c r="D4" s="3260"/>
      <c r="E4" s="3261" t="s">
        <v>2642</v>
      </c>
      <c r="F4" s="3262"/>
      <c r="G4" s="3259" t="s">
        <v>2643</v>
      </c>
      <c r="H4" s="3260"/>
      <c r="I4" s="3259" t="s">
        <v>2644</v>
      </c>
      <c r="J4" s="3260"/>
      <c r="K4" s="610" t="s">
        <v>2645</v>
      </c>
      <c r="L4" s="1131"/>
      <c r="M4" s="1132"/>
      <c r="N4" s="1132"/>
      <c r="O4" s="1132"/>
      <c r="P4" s="3263" t="s">
        <v>2646</v>
      </c>
      <c r="Q4" s="3264"/>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2" t="s">
        <v>2538</v>
      </c>
      <c r="F5" s="3249"/>
      <c r="G5" s="3250" t="s">
        <v>2539</v>
      </c>
      <c r="H5" s="3251"/>
      <c r="I5" s="3250" t="s">
        <v>2540</v>
      </c>
      <c r="J5" s="3251"/>
      <c r="K5" s="610"/>
      <c r="L5" s="1131"/>
      <c r="M5" s="1132"/>
      <c r="N5" s="1132"/>
      <c r="O5" s="1132"/>
      <c r="P5" s="3265"/>
      <c r="Q5" s="3266"/>
      <c r="R5" s="3246"/>
      <c r="S5" s="3247"/>
      <c r="T5" s="3246"/>
      <c r="U5" s="3247"/>
      <c r="V5" s="3241"/>
      <c r="W5" s="3241"/>
      <c r="X5" s="1814"/>
      <c r="Y5" s="3246"/>
      <c r="Z5" s="3247"/>
      <c r="AA5" s="3239"/>
      <c r="AB5" s="3239"/>
      <c r="AC5" s="3239"/>
    </row>
    <row r="6" spans="1:29" ht="15.75" thickBot="1">
      <c r="A6" s="406"/>
      <c r="B6" s="407"/>
      <c r="C6" s="3334" t="s">
        <v>2792</v>
      </c>
      <c r="D6" s="3335"/>
      <c r="E6" s="3336" t="s">
        <v>2792</v>
      </c>
      <c r="F6" s="3337"/>
      <c r="G6" s="3334" t="s">
        <v>2792</v>
      </c>
      <c r="H6" s="3335"/>
      <c r="I6" s="3334" t="s">
        <v>2792</v>
      </c>
      <c r="J6" s="3335"/>
      <c r="K6" s="610" t="s">
        <v>2542</v>
      </c>
      <c r="L6" s="1131"/>
      <c r="M6" s="1132"/>
      <c r="N6" s="1132"/>
      <c r="O6" s="1132"/>
      <c r="P6" s="3267"/>
      <c r="Q6" s="3268"/>
      <c r="R6" s="3246"/>
      <c r="S6" s="3247"/>
      <c r="T6" s="3269"/>
      <c r="U6" s="3270"/>
      <c r="V6" s="3241"/>
      <c r="W6" s="3241"/>
      <c r="X6" s="1814"/>
      <c r="Y6" s="3269"/>
      <c r="Z6" s="3270"/>
      <c r="AA6" s="3240"/>
      <c r="AB6" s="3240"/>
      <c r="AC6" s="3240"/>
    </row>
    <row r="7" spans="1:29" s="117" customFormat="1" ht="15.75" thickBot="1">
      <c r="A7" s="408" t="s">
        <v>2543</v>
      </c>
      <c r="B7" s="409"/>
      <c r="C7" s="410">
        <f>'数据-取费表'!B2</f>
        <v>43251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42" t="s">
        <v>2544</v>
      </c>
      <c r="Q7" s="3271"/>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0" si="3">D8/F8</f>
        <v>#DIV/0!</v>
      </c>
      <c r="AB8" s="771" t="e">
        <f t="shared" ref="AB8:AB40" si="4">D8/H8</f>
        <v>#DIV/0!</v>
      </c>
      <c r="AC8" s="771"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81"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123</v>
      </c>
      <c r="G10" s="432"/>
      <c r="H10" s="136">
        <f>ROUND(100/'数据-取费表'!G16,0)</f>
        <v>123</v>
      </c>
      <c r="I10" s="432"/>
      <c r="J10" s="136">
        <f>ROUND(100/'数据-取费表'!G16,0)</f>
        <v>123</v>
      </c>
      <c r="K10" s="672"/>
      <c r="L10" s="1136"/>
      <c r="M10" s="1137"/>
      <c r="N10" s="1137"/>
      <c r="O10" s="1138"/>
      <c r="P10" s="3281"/>
      <c r="Q10" s="1796" t="str">
        <f t="shared" si="6"/>
        <v>土地使用年限（年）</v>
      </c>
      <c r="R10" s="768" t="s">
        <v>17</v>
      </c>
      <c r="S10" s="769">
        <f t="shared" si="0"/>
        <v>123</v>
      </c>
      <c r="T10" s="768" t="s">
        <v>17</v>
      </c>
      <c r="U10" s="769">
        <f t="shared" si="1"/>
        <v>123</v>
      </c>
      <c r="V10" s="768" t="s">
        <v>17</v>
      </c>
      <c r="W10" s="769">
        <f t="shared" si="2"/>
        <v>123</v>
      </c>
      <c r="X10" s="770"/>
      <c r="Y10" s="3115"/>
      <c r="Z10" s="55" t="str">
        <f t="shared" si="7"/>
        <v>土地使用年限（年）</v>
      </c>
      <c r="AA10" s="771">
        <f t="shared" si="3"/>
        <v>0.81300813008130079</v>
      </c>
      <c r="AB10" s="771">
        <f t="shared" si="4"/>
        <v>0.81300813008130079</v>
      </c>
      <c r="AC10" s="771">
        <f t="shared" si="5"/>
        <v>0.81300813008130079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81"/>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81"/>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81"/>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81"/>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2554</v>
      </c>
      <c r="B15" s="629" t="s">
        <v>2793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74" t="s">
        <v>2555</v>
      </c>
      <c r="Q15" s="1811" t="str">
        <f t="shared" si="6"/>
        <v>产业集聚程度</v>
      </c>
      <c r="R15" s="772" t="s">
        <v>17</v>
      </c>
      <c r="S15" s="773">
        <f t="shared" si="0"/>
        <v>100</v>
      </c>
      <c r="T15" s="772" t="s">
        <v>17</v>
      </c>
      <c r="U15" s="773">
        <f t="shared" si="1"/>
        <v>100</v>
      </c>
      <c r="V15" s="772" t="s">
        <v>17</v>
      </c>
      <c r="W15" s="773">
        <f t="shared" si="2"/>
        <v>100</v>
      </c>
      <c r="X15" s="1814"/>
      <c r="Y15" s="3274" t="s">
        <v>2555</v>
      </c>
      <c r="Z15" s="1815" t="str">
        <f t="shared" si="7"/>
        <v>产业集聚程度</v>
      </c>
      <c r="AA15" s="1812">
        <f t="shared" si="3"/>
        <v>1</v>
      </c>
      <c r="AB15" s="1812">
        <f t="shared" si="4"/>
        <v>1</v>
      </c>
      <c r="AC15" s="1812">
        <f t="shared" si="5"/>
        <v>1</v>
      </c>
    </row>
    <row r="16" spans="1:29" ht="15">
      <c r="A16" s="428"/>
      <c r="B16" s="630"/>
      <c r="C16" s="447"/>
      <c r="D16" s="448"/>
      <c r="E16" s="2614"/>
      <c r="F16" s="448"/>
      <c r="G16" s="2614"/>
      <c r="H16" s="450"/>
      <c r="I16" s="2614"/>
      <c r="J16" s="448"/>
      <c r="K16" s="672"/>
      <c r="L16" s="1141"/>
      <c r="M16" s="1132"/>
      <c r="N16" s="1132"/>
      <c r="O16" s="1140"/>
      <c r="P16" s="3275"/>
      <c r="Q16" s="1811"/>
      <c r="R16" s="772"/>
      <c r="S16" s="773"/>
      <c r="T16" s="772"/>
      <c r="U16" s="773"/>
      <c r="V16" s="772"/>
      <c r="W16" s="773"/>
      <c r="X16" s="1814"/>
      <c r="Y16" s="3275"/>
      <c r="Z16" s="1815"/>
      <c r="AA16" s="1812">
        <v>1</v>
      </c>
      <c r="AB16" s="1812">
        <v>1</v>
      </c>
      <c r="AC16" s="1812">
        <v>1</v>
      </c>
    </row>
    <row r="17" spans="1:29" ht="85.5">
      <c r="A17" s="428"/>
      <c r="B17" s="631" t="s">
        <v>2704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75"/>
      <c r="Q17" s="1811" t="str">
        <f>B17</f>
        <v>交通便捷度</v>
      </c>
      <c r="R17" s="772" t="s">
        <v>17</v>
      </c>
      <c r="S17" s="773">
        <f>F17</f>
        <v>100</v>
      </c>
      <c r="T17" s="772" t="s">
        <v>17</v>
      </c>
      <c r="U17" s="773">
        <f>H17</f>
        <v>100</v>
      </c>
      <c r="V17" s="772" t="s">
        <v>17</v>
      </c>
      <c r="W17" s="773">
        <f>J17</f>
        <v>100</v>
      </c>
      <c r="X17" s="1814"/>
      <c r="Y17" s="3275"/>
      <c r="Z17" s="1815" t="str">
        <f>Q17</f>
        <v>交通便捷度</v>
      </c>
      <c r="AA17" s="1812">
        <f t="shared" si="3"/>
        <v>1</v>
      </c>
      <c r="AB17" s="1812">
        <f t="shared" si="4"/>
        <v>1</v>
      </c>
      <c r="AC17" s="1812">
        <f t="shared" si="5"/>
        <v>1</v>
      </c>
    </row>
    <row r="18" spans="1:29" ht="15">
      <c r="A18" s="428"/>
      <c r="B18" s="632"/>
      <c r="C18" s="447"/>
      <c r="D18" s="448"/>
      <c r="E18" s="2608"/>
      <c r="F18" s="448"/>
      <c r="G18" s="2608"/>
      <c r="H18" s="448"/>
      <c r="I18" s="2607"/>
      <c r="J18" s="448"/>
      <c r="K18" s="672"/>
      <c r="L18" s="1141"/>
      <c r="M18" s="1132"/>
      <c r="N18" s="1132"/>
      <c r="O18" s="1140"/>
      <c r="P18" s="3275"/>
      <c r="Q18" s="1811"/>
      <c r="R18" s="772"/>
      <c r="S18" s="773"/>
      <c r="T18" s="772"/>
      <c r="U18" s="773"/>
      <c r="V18" s="772"/>
      <c r="W18" s="773"/>
      <c r="X18" s="1814"/>
      <c r="Y18" s="3275"/>
      <c r="Z18" s="1815"/>
      <c r="AA18" s="1812">
        <v>1</v>
      </c>
      <c r="AB18" s="1812">
        <v>1</v>
      </c>
      <c r="AC18" s="1812">
        <v>1</v>
      </c>
    </row>
    <row r="19" spans="1:29" ht="15">
      <c r="A19" s="428"/>
      <c r="B19" s="631" t="s">
        <v>2743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75"/>
      <c r="Q19" s="1811" t="str">
        <f t="shared" ref="Q19:Q33" si="8">B19</f>
        <v>区域土地利用方向</v>
      </c>
      <c r="R19" s="772" t="s">
        <v>17</v>
      </c>
      <c r="S19" s="773">
        <f>F19</f>
        <v>100</v>
      </c>
      <c r="T19" s="772" t="s">
        <v>17</v>
      </c>
      <c r="U19" s="773">
        <f>H19</f>
        <v>100</v>
      </c>
      <c r="V19" s="772" t="s">
        <v>17</v>
      </c>
      <c r="W19" s="773">
        <f>J19</f>
        <v>100</v>
      </c>
      <c r="X19" s="1814"/>
      <c r="Y19" s="3275"/>
      <c r="Z19" s="1815" t="str">
        <f>Q19</f>
        <v>区域土地利用方向</v>
      </c>
      <c r="AA19" s="1812">
        <f t="shared" si="3"/>
        <v>1</v>
      </c>
      <c r="AB19" s="1812">
        <f t="shared" si="4"/>
        <v>1</v>
      </c>
      <c r="AC19" s="1812">
        <f t="shared" si="5"/>
        <v>1</v>
      </c>
    </row>
    <row r="20" spans="1:29" ht="15">
      <c r="A20" s="404"/>
      <c r="B20" s="632"/>
      <c r="C20" s="447"/>
      <c r="D20" s="448"/>
      <c r="E20" s="2608"/>
      <c r="F20" s="448"/>
      <c r="G20" s="2608"/>
      <c r="H20" s="448"/>
      <c r="I20" s="2608"/>
      <c r="J20" s="448"/>
      <c r="K20" s="810"/>
      <c r="L20" s="1141"/>
      <c r="M20" s="1132"/>
      <c r="N20" s="1132"/>
      <c r="O20" s="1140"/>
      <c r="P20" s="3275"/>
      <c r="Q20" s="1811"/>
      <c r="R20" s="772"/>
      <c r="S20" s="773"/>
      <c r="T20" s="772"/>
      <c r="U20" s="773"/>
      <c r="V20" s="772"/>
      <c r="W20" s="773"/>
      <c r="X20" s="1814"/>
      <c r="Y20" s="3275"/>
      <c r="Z20" s="1815"/>
      <c r="AA20" s="1812"/>
      <c r="AB20" s="1812"/>
      <c r="AC20" s="1812"/>
    </row>
    <row r="21" spans="1:29" ht="71.25">
      <c r="A21" s="404"/>
      <c r="B21" s="631" t="s">
        <v>2794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75"/>
      <c r="Q21" s="1811" t="str">
        <f t="shared" si="8"/>
        <v>环境状况</v>
      </c>
      <c r="R21" s="772" t="s">
        <v>17</v>
      </c>
      <c r="S21" s="773">
        <f>F21</f>
        <v>100</v>
      </c>
      <c r="T21" s="772" t="s">
        <v>17</v>
      </c>
      <c r="U21" s="773">
        <f>H21</f>
        <v>100</v>
      </c>
      <c r="V21" s="772" t="s">
        <v>17</v>
      </c>
      <c r="W21" s="773">
        <f>J21</f>
        <v>100</v>
      </c>
      <c r="X21" s="1814"/>
      <c r="Y21" s="3275"/>
      <c r="Z21" s="1815" t="str">
        <f>Q21</f>
        <v>环境状况</v>
      </c>
      <c r="AA21" s="1812">
        <f t="shared" si="3"/>
        <v>1</v>
      </c>
      <c r="AB21" s="1812">
        <f t="shared" si="4"/>
        <v>1</v>
      </c>
      <c r="AC21" s="1812">
        <f t="shared" si="5"/>
        <v>1</v>
      </c>
    </row>
    <row r="22" spans="1:29" ht="15">
      <c r="A22" s="404"/>
      <c r="B22" s="632"/>
      <c r="C22" s="447"/>
      <c r="D22" s="448"/>
      <c r="E22" s="2614"/>
      <c r="F22" s="448"/>
      <c r="G22" s="2614"/>
      <c r="H22" s="448"/>
      <c r="I22" s="447"/>
      <c r="J22" s="448"/>
      <c r="K22" s="672"/>
      <c r="L22" s="1141"/>
      <c r="M22" s="1132"/>
      <c r="N22" s="1132"/>
      <c r="O22" s="1140"/>
      <c r="P22" s="3275"/>
      <c r="Q22" s="1811"/>
      <c r="R22" s="772"/>
      <c r="S22" s="773"/>
      <c r="T22" s="772"/>
      <c r="U22" s="773"/>
      <c r="V22" s="772"/>
      <c r="W22" s="773"/>
      <c r="X22" s="1814"/>
      <c r="Y22" s="3275"/>
      <c r="Z22" s="1815"/>
      <c r="AA22" s="1812">
        <v>1</v>
      </c>
      <c r="AB22" s="1812">
        <v>1</v>
      </c>
      <c r="AC22" s="1812">
        <v>1</v>
      </c>
    </row>
    <row r="23" spans="1:29" s="117" customFormat="1" ht="42.75">
      <c r="A23" s="649"/>
      <c r="B23" s="633" t="s">
        <v>2649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75"/>
      <c r="Q23" s="1796" t="str">
        <f t="shared" si="8"/>
        <v>公共配套设施</v>
      </c>
      <c r="R23" s="768" t="s">
        <v>17</v>
      </c>
      <c r="S23" s="769">
        <f>F23</f>
        <v>100</v>
      </c>
      <c r="T23" s="768" t="s">
        <v>17</v>
      </c>
      <c r="U23" s="769">
        <f>H23</f>
        <v>100</v>
      </c>
      <c r="V23" s="768" t="s">
        <v>17</v>
      </c>
      <c r="W23" s="769">
        <f>J23</f>
        <v>100</v>
      </c>
      <c r="X23" s="770"/>
      <c r="Y23" s="3275"/>
      <c r="Z23" s="55" t="str">
        <f>Q23</f>
        <v>公共配套设施</v>
      </c>
      <c r="AA23" s="1812">
        <f>D23/F23</f>
        <v>1</v>
      </c>
      <c r="AB23" s="1812">
        <f>D23/H23</f>
        <v>1</v>
      </c>
      <c r="AC23" s="1812">
        <f>D23/J23</f>
        <v>1</v>
      </c>
    </row>
    <row r="24" spans="1:29" s="117" customFormat="1" ht="15">
      <c r="A24" s="649"/>
      <c r="B24" s="632"/>
      <c r="C24" s="2703"/>
      <c r="D24" s="448"/>
      <c r="E24" s="2614"/>
      <c r="F24" s="448"/>
      <c r="G24" s="2614"/>
      <c r="H24" s="448"/>
      <c r="I24" s="447"/>
      <c r="J24" s="448"/>
      <c r="K24" s="672"/>
      <c r="L24" s="1133"/>
      <c r="M24" s="1134"/>
      <c r="N24" s="1134"/>
      <c r="O24" s="1135"/>
      <c r="P24" s="3275"/>
      <c r="Q24" s="1796"/>
      <c r="R24" s="768"/>
      <c r="S24" s="769"/>
      <c r="T24" s="768"/>
      <c r="U24" s="769"/>
      <c r="V24" s="768"/>
      <c r="W24" s="769"/>
      <c r="X24" s="770"/>
      <c r="Y24" s="3275"/>
      <c r="Z24" s="55"/>
      <c r="AA24" s="771">
        <v>1</v>
      </c>
      <c r="AB24" s="771">
        <v>1</v>
      </c>
      <c r="AC24" s="771">
        <v>1</v>
      </c>
    </row>
    <row r="25" spans="1:29" s="117" customFormat="1" ht="28.5">
      <c r="A25" s="649"/>
      <c r="B25" s="633" t="s">
        <v>2650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75"/>
      <c r="Q25" s="1796" t="str">
        <f t="shared" ref="Q25" si="9">B25</f>
        <v>基础设施水平</v>
      </c>
      <c r="R25" s="768" t="s">
        <v>17</v>
      </c>
      <c r="S25" s="769">
        <f>F25</f>
        <v>100</v>
      </c>
      <c r="T25" s="768" t="s">
        <v>17</v>
      </c>
      <c r="U25" s="769">
        <f>H25</f>
        <v>100</v>
      </c>
      <c r="V25" s="768" t="s">
        <v>17</v>
      </c>
      <c r="W25" s="769">
        <f>J25</f>
        <v>100</v>
      </c>
      <c r="X25" s="770"/>
      <c r="Y25" s="3275"/>
      <c r="Z25" s="55" t="str">
        <f>Q25</f>
        <v>基础设施水平</v>
      </c>
      <c r="AA25" s="1812">
        <f>D25/F25</f>
        <v>1</v>
      </c>
      <c r="AB25" s="1812">
        <f>D25/H25</f>
        <v>1</v>
      </c>
      <c r="AC25" s="1812">
        <f>D25/J25</f>
        <v>1</v>
      </c>
    </row>
    <row r="26" spans="1:29" s="117" customFormat="1" ht="15">
      <c r="A26" s="649"/>
      <c r="B26" s="632"/>
      <c r="C26" s="2703"/>
      <c r="D26" s="448"/>
      <c r="E26" s="2704"/>
      <c r="F26" s="448"/>
      <c r="G26" s="2704"/>
      <c r="H26" s="448"/>
      <c r="I26" s="2704"/>
      <c r="J26" s="448"/>
      <c r="K26" s="672"/>
      <c r="L26" s="1133"/>
      <c r="M26" s="1134"/>
      <c r="N26" s="1134"/>
      <c r="O26" s="1135"/>
      <c r="P26" s="3275"/>
      <c r="Q26" s="1796"/>
      <c r="R26" s="768"/>
      <c r="S26" s="769"/>
      <c r="T26" s="768"/>
      <c r="U26" s="769"/>
      <c r="V26" s="768"/>
      <c r="W26" s="769"/>
      <c r="X26" s="770"/>
      <c r="Y26" s="3275"/>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7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75"/>
      <c r="Z27" s="1815" t="str">
        <f t="shared" ref="Z27:Z40" si="13">Q27</f>
        <v>临街状况</v>
      </c>
      <c r="AA27" s="1812">
        <f t="shared" si="3"/>
        <v>1</v>
      </c>
      <c r="AB27" s="1812">
        <f t="shared" si="4"/>
        <v>1</v>
      </c>
      <c r="AC27" s="1812">
        <f t="shared" si="5"/>
        <v>1</v>
      </c>
    </row>
    <row r="28" spans="1:29" ht="27">
      <c r="A28" s="428"/>
      <c r="B28" s="633" t="s">
        <v>2686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75"/>
      <c r="Q28" s="1811" t="str">
        <f t="shared" si="8"/>
        <v>毗邻道路的类型与等级</v>
      </c>
      <c r="R28" s="772" t="s">
        <v>17</v>
      </c>
      <c r="S28" s="773">
        <f t="shared" si="10"/>
        <v>100</v>
      </c>
      <c r="T28" s="772" t="s">
        <v>17</v>
      </c>
      <c r="U28" s="773">
        <f t="shared" si="11"/>
        <v>100</v>
      </c>
      <c r="V28" s="772" t="s">
        <v>17</v>
      </c>
      <c r="W28" s="773">
        <f t="shared" si="12"/>
        <v>100</v>
      </c>
      <c r="X28" s="1814"/>
      <c r="Y28" s="3275"/>
      <c r="Z28" s="1815" t="str">
        <f t="shared" si="13"/>
        <v>毗邻道路的类型与等级</v>
      </c>
      <c r="AA28" s="1812">
        <f t="shared" si="3"/>
        <v>1</v>
      </c>
      <c r="AB28" s="1812">
        <f t="shared" si="4"/>
        <v>1</v>
      </c>
      <c r="AC28" s="1812">
        <f t="shared" si="5"/>
        <v>1</v>
      </c>
    </row>
    <row r="29" spans="1:29" ht="15">
      <c r="A29" s="428"/>
      <c r="B29" s="632"/>
      <c r="C29" s="447"/>
      <c r="D29" s="448"/>
      <c r="E29" s="2614"/>
      <c r="F29" s="448"/>
      <c r="G29" s="2614"/>
      <c r="H29" s="448"/>
      <c r="I29" s="2614"/>
      <c r="J29" s="448"/>
      <c r="K29" s="613"/>
      <c r="L29" s="1141"/>
      <c r="M29" s="1132"/>
      <c r="N29" s="1132"/>
      <c r="O29" s="1140"/>
      <c r="P29" s="3275"/>
      <c r="Q29" s="1811"/>
      <c r="R29" s="772"/>
      <c r="S29" s="773"/>
      <c r="T29" s="772"/>
      <c r="U29" s="773"/>
      <c r="V29" s="772"/>
      <c r="W29" s="773"/>
      <c r="X29" s="1814"/>
      <c r="Y29" s="3275"/>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75"/>
      <c r="Q30" s="1811" t="str">
        <f t="shared" si="8"/>
        <v>土地级别</v>
      </c>
      <c r="R30" s="772" t="s">
        <v>17</v>
      </c>
      <c r="S30" s="773">
        <f t="shared" si="10"/>
        <v>100</v>
      </c>
      <c r="T30" s="772" t="s">
        <v>17</v>
      </c>
      <c r="U30" s="773">
        <f t="shared" si="11"/>
        <v>100</v>
      </c>
      <c r="V30" s="772" t="s">
        <v>17</v>
      </c>
      <c r="W30" s="773">
        <f t="shared" si="12"/>
        <v>100</v>
      </c>
      <c r="X30" s="1814"/>
      <c r="Y30" s="3275"/>
      <c r="Z30" s="1815" t="str">
        <f t="shared" si="13"/>
        <v>土地级别</v>
      </c>
      <c r="AA30" s="1812">
        <f t="shared" si="3"/>
        <v>1</v>
      </c>
      <c r="AB30" s="1812">
        <f t="shared" si="4"/>
        <v>1</v>
      </c>
      <c r="AC30" s="1812">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75"/>
      <c r="Q31" s="1811">
        <f t="shared" si="8"/>
        <v>111</v>
      </c>
      <c r="R31" s="772" t="s">
        <v>17</v>
      </c>
      <c r="S31" s="773">
        <f t="shared" si="10"/>
        <v>100</v>
      </c>
      <c r="T31" s="772" t="s">
        <v>17</v>
      </c>
      <c r="U31" s="773">
        <f t="shared" si="11"/>
        <v>100</v>
      </c>
      <c r="V31" s="772" t="s">
        <v>17</v>
      </c>
      <c r="W31" s="773">
        <f t="shared" si="12"/>
        <v>100</v>
      </c>
      <c r="X31" s="1814"/>
      <c r="Y31" s="3275"/>
      <c r="Z31" s="1815">
        <f t="shared" si="13"/>
        <v>111</v>
      </c>
      <c r="AA31" s="1812">
        <f t="shared" si="3"/>
        <v>1</v>
      </c>
      <c r="AB31" s="1812">
        <f t="shared" si="4"/>
        <v>1</v>
      </c>
      <c r="AC31" s="1812">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29" t="s">
        <v>2560</v>
      </c>
      <c r="Q32" s="1811">
        <f t="shared" si="8"/>
        <v>111</v>
      </c>
      <c r="R32" s="772" t="s">
        <v>17</v>
      </c>
      <c r="S32" s="773">
        <f t="shared" si="10"/>
        <v>100</v>
      </c>
      <c r="T32" s="772" t="s">
        <v>17</v>
      </c>
      <c r="U32" s="773">
        <f t="shared" si="11"/>
        <v>100</v>
      </c>
      <c r="V32" s="772" t="s">
        <v>17</v>
      </c>
      <c r="W32" s="773">
        <f t="shared" si="12"/>
        <v>100</v>
      </c>
      <c r="X32" s="1814"/>
      <c r="Y32" s="3279" t="s">
        <v>2560</v>
      </c>
      <c r="Z32" s="1815">
        <f t="shared" si="13"/>
        <v>111</v>
      </c>
      <c r="AA32" s="1812">
        <f t="shared" si="3"/>
        <v>1</v>
      </c>
      <c r="AB32" s="1812">
        <f t="shared" si="4"/>
        <v>1</v>
      </c>
      <c r="AC32" s="1812">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79"/>
      <c r="Q33" s="1811">
        <f t="shared" si="8"/>
        <v>111</v>
      </c>
      <c r="R33" s="775" t="s">
        <v>17</v>
      </c>
      <c r="S33" s="776">
        <f t="shared" si="10"/>
        <v>100</v>
      </c>
      <c r="T33" s="775" t="s">
        <v>17</v>
      </c>
      <c r="U33" s="776">
        <f t="shared" si="11"/>
        <v>100</v>
      </c>
      <c r="V33" s="775" t="s">
        <v>17</v>
      </c>
      <c r="W33" s="776">
        <f t="shared" si="12"/>
        <v>100</v>
      </c>
      <c r="X33" s="777"/>
      <c r="Y33" s="3279"/>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79"/>
      <c r="Q34" s="1811" t="str">
        <f>B34</f>
        <v>宗地面积</v>
      </c>
      <c r="R34" s="772" t="s">
        <v>17</v>
      </c>
      <c r="S34" s="773" t="e">
        <f t="shared" si="10"/>
        <v>#N/A</v>
      </c>
      <c r="T34" s="772" t="s">
        <v>17</v>
      </c>
      <c r="U34" s="773" t="e">
        <f t="shared" si="11"/>
        <v>#N/A</v>
      </c>
      <c r="V34" s="772" t="s">
        <v>17</v>
      </c>
      <c r="W34" s="773" t="e">
        <f t="shared" si="12"/>
        <v>#N/A</v>
      </c>
      <c r="X34" s="1814"/>
      <c r="Y34" s="3279"/>
      <c r="Z34" s="1815" t="str">
        <f t="shared" si="13"/>
        <v>宗地面积</v>
      </c>
      <c r="AA34" s="1812" t="e">
        <f t="shared" si="3"/>
        <v>#N/A</v>
      </c>
      <c r="AB34" s="1812" t="e">
        <f t="shared" si="4"/>
        <v>#N/A</v>
      </c>
      <c r="AC34" s="1812"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79"/>
      <c r="Q35" s="1811" t="str">
        <f t="shared" ref="Q35:Q40" si="14">B35</f>
        <v>宗地形状</v>
      </c>
      <c r="R35" s="772" t="s">
        <v>17</v>
      </c>
      <c r="S35" s="773">
        <f t="shared" si="10"/>
        <v>100</v>
      </c>
      <c r="T35" s="772" t="s">
        <v>17</v>
      </c>
      <c r="U35" s="773">
        <f t="shared" si="11"/>
        <v>100</v>
      </c>
      <c r="V35" s="772" t="s">
        <v>17</v>
      </c>
      <c r="W35" s="773">
        <f t="shared" si="12"/>
        <v>100</v>
      </c>
      <c r="X35" s="1814"/>
      <c r="Y35" s="3279"/>
      <c r="Z35" s="1815" t="str">
        <f t="shared" si="13"/>
        <v>宗地形状</v>
      </c>
      <c r="AA35" s="1812">
        <f t="shared" si="3"/>
        <v>1</v>
      </c>
      <c r="AB35" s="1812">
        <f t="shared" si="4"/>
        <v>1</v>
      </c>
      <c r="AC35" s="1812">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79"/>
      <c r="Q36" s="1811" t="str">
        <f t="shared" si="14"/>
        <v>宗地开发程度</v>
      </c>
      <c r="R36" s="768" t="s">
        <v>17</v>
      </c>
      <c r="S36" s="769">
        <f t="shared" si="10"/>
        <v>100</v>
      </c>
      <c r="T36" s="768" t="s">
        <v>17</v>
      </c>
      <c r="U36" s="769">
        <f t="shared" si="11"/>
        <v>100</v>
      </c>
      <c r="V36" s="768" t="s">
        <v>17</v>
      </c>
      <c r="W36" s="769">
        <f t="shared" si="12"/>
        <v>100</v>
      </c>
      <c r="X36" s="770"/>
      <c r="Y36" s="3279"/>
      <c r="Z36" s="55" t="str">
        <f t="shared" si="13"/>
        <v>宗地开发程度</v>
      </c>
      <c r="AA36" s="771">
        <f t="shared" si="3"/>
        <v>1</v>
      </c>
      <c r="AB36" s="771">
        <f t="shared" si="4"/>
        <v>1</v>
      </c>
      <c r="AC36" s="771">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79" t="s">
        <v>2560</v>
      </c>
      <c r="Q37" s="1811" t="str">
        <f t="shared" si="14"/>
        <v>工程地质条件</v>
      </c>
      <c r="R37" s="772" t="s">
        <v>17</v>
      </c>
      <c r="S37" s="773">
        <f t="shared" si="10"/>
        <v>100</v>
      </c>
      <c r="T37" s="772" t="s">
        <v>17</v>
      </c>
      <c r="U37" s="773">
        <f t="shared" si="11"/>
        <v>100</v>
      </c>
      <c r="V37" s="772" t="s">
        <v>17</v>
      </c>
      <c r="W37" s="773">
        <f t="shared" si="12"/>
        <v>100</v>
      </c>
      <c r="X37" s="1814"/>
      <c r="Y37" s="3279"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79"/>
      <c r="Q38" s="1811">
        <f t="shared" si="14"/>
        <v>111</v>
      </c>
      <c r="R38" s="772" t="s">
        <v>17</v>
      </c>
      <c r="S38" s="773">
        <f t="shared" si="10"/>
        <v>100</v>
      </c>
      <c r="T38" s="772" t="s">
        <v>17</v>
      </c>
      <c r="U38" s="773">
        <f t="shared" si="11"/>
        <v>100</v>
      </c>
      <c r="V38" s="772" t="s">
        <v>17</v>
      </c>
      <c r="W38" s="773">
        <f t="shared" si="12"/>
        <v>100</v>
      </c>
      <c r="X38" s="1814"/>
      <c r="Y38" s="3279"/>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79"/>
      <c r="Q39" s="1811">
        <f t="shared" si="14"/>
        <v>111</v>
      </c>
      <c r="R39" s="772" t="s">
        <v>17</v>
      </c>
      <c r="S39" s="773">
        <f t="shared" si="10"/>
        <v>100</v>
      </c>
      <c r="T39" s="772" t="s">
        <v>17</v>
      </c>
      <c r="U39" s="773">
        <f t="shared" si="11"/>
        <v>100</v>
      </c>
      <c r="V39" s="772" t="s">
        <v>17</v>
      </c>
      <c r="W39" s="773">
        <f t="shared" si="12"/>
        <v>100</v>
      </c>
      <c r="X39" s="1814"/>
      <c r="Y39" s="3279"/>
      <c r="Z39" s="1815">
        <f t="shared" si="13"/>
        <v>111</v>
      </c>
      <c r="AA39" s="1812">
        <f t="shared" si="3"/>
        <v>1</v>
      </c>
      <c r="AB39" s="1812">
        <f t="shared" si="4"/>
        <v>1</v>
      </c>
      <c r="AC39" s="1812">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79"/>
      <c r="Q40" s="1811">
        <f t="shared" si="14"/>
        <v>111</v>
      </c>
      <c r="R40" s="775" t="s">
        <v>17</v>
      </c>
      <c r="S40" s="776">
        <f t="shared" si="10"/>
        <v>100</v>
      </c>
      <c r="T40" s="775" t="s">
        <v>17</v>
      </c>
      <c r="U40" s="776">
        <f t="shared" si="11"/>
        <v>100</v>
      </c>
      <c r="V40" s="775" t="s">
        <v>17</v>
      </c>
      <c r="W40" s="776">
        <f t="shared" si="12"/>
        <v>100</v>
      </c>
      <c r="X40" s="777"/>
      <c r="Y40" s="3279"/>
      <c r="Z40" s="778">
        <f t="shared" si="13"/>
        <v>111</v>
      </c>
      <c r="AA40" s="1812">
        <f t="shared" si="3"/>
        <v>1</v>
      </c>
      <c r="AB40" s="1812">
        <f t="shared" si="4"/>
        <v>1</v>
      </c>
      <c r="AC40" s="1812">
        <f t="shared" si="5"/>
        <v>1</v>
      </c>
    </row>
    <row r="41" spans="1:29" ht="15">
      <c r="A41" s="479" t="s">
        <v>2715</v>
      </c>
      <c r="B41" s="2707" t="s">
        <v>2795</v>
      </c>
      <c r="C41" s="682" t="s">
        <v>1</v>
      </c>
      <c r="D41" s="481"/>
      <c r="E41" s="482"/>
      <c r="F41" s="483"/>
      <c r="G41" s="484"/>
      <c r="H41" s="485"/>
      <c r="I41" s="482"/>
      <c r="J41" s="485"/>
      <c r="K41" s="781"/>
      <c r="L41" s="1144"/>
      <c r="M41" s="1132"/>
      <c r="N41" s="1132"/>
      <c r="O41" s="1145"/>
      <c r="P41" s="3281" t="str">
        <f>A41</f>
        <v>成交单价</v>
      </c>
      <c r="Q41" s="3281"/>
      <c r="R41" s="3241">
        <f>E41</f>
        <v>0</v>
      </c>
      <c r="S41" s="3241"/>
      <c r="T41" s="3241">
        <f>G41</f>
        <v>0</v>
      </c>
      <c r="U41" s="3241"/>
      <c r="V41" s="3241">
        <f>I41</f>
        <v>0</v>
      </c>
      <c r="W41" s="3241"/>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281" t="str">
        <f>A42</f>
        <v>比较价值（元/平方米）</v>
      </c>
      <c r="Q42" s="3281"/>
      <c r="R42" s="3330" t="e">
        <f>ROUND(PRODUCT(R41,AA7:AA40),0)</f>
        <v>#DIV/0!</v>
      </c>
      <c r="S42" s="3330"/>
      <c r="T42" s="3330" t="e">
        <f>ROUND(PRODUCT(T41,AB7:AB40),0)</f>
        <v>#DIV/0!</v>
      </c>
      <c r="U42" s="3330"/>
      <c r="V42" s="3330" t="e">
        <f>ROUND(PRODUCT(V41,AC7:AC40),0)</f>
        <v>#DIV/0!</v>
      </c>
      <c r="W42" s="3330"/>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283" t="str">
        <f>A43</f>
        <v>估价对象XX用房的比较价值（楼面单价，元/平方米）</v>
      </c>
      <c r="Q43" s="3284"/>
      <c r="R43" s="3331" t="e">
        <f>ROUND(AVERAGE(R42:V42),0)</f>
        <v>#DIV/0!</v>
      </c>
      <c r="S43" s="3331"/>
      <c r="T43" s="3331"/>
      <c r="U43" s="3331"/>
      <c r="V43" s="3331"/>
      <c r="W43" s="333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8" t="s">
        <v>2755</v>
      </c>
      <c r="D50" s="2709" t="s">
        <v>2756</v>
      </c>
      <c r="E50" s="686" t="s">
        <v>2757</v>
      </c>
      <c r="F50" s="687" t="s">
        <v>2758</v>
      </c>
      <c r="G50" s="3259" t="s">
        <v>2759</v>
      </c>
      <c r="H50" s="3332"/>
      <c r="I50" s="1815" t="s">
        <v>2796</v>
      </c>
      <c r="J50" s="1815">
        <f>项目基本情况!F35</f>
        <v>0</v>
      </c>
      <c r="K50" s="2711" t="s">
        <v>2761</v>
      </c>
      <c r="L50" s="1107"/>
      <c r="M50" s="1145"/>
      <c r="N50" s="1145"/>
      <c r="O50" s="1145"/>
    </row>
    <row r="51" spans="1:17" s="692" customFormat="1">
      <c r="A51" s="688" t="s">
        <v>2762</v>
      </c>
      <c r="B51" s="689" t="e">
        <f>C43</f>
        <v>#DIV/0!</v>
      </c>
      <c r="C51" s="690">
        <v>1</v>
      </c>
      <c r="D51" s="1164">
        <v>1</v>
      </c>
      <c r="E51" s="690">
        <f>'数据-汇总表'!E8+'数据-汇总表'!E9</f>
        <v>1394.13</v>
      </c>
      <c r="F51" s="691" t="e">
        <f t="shared" ref="F51:F60" si="15">ROUND(B51*E51/10000,0)</f>
        <v>#DIV/0!</v>
      </c>
      <c r="G51" s="3258"/>
      <c r="H51" s="3281"/>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333"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333"/>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333"/>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333"/>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12"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12"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13"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1029</v>
      </c>
      <c r="E61" s="696">
        <f>IF(B41="楼面地价",SUM(E51:E60),'数据-汇总表'!D3)</f>
        <v>1121.78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14" t="s">
        <v>2777</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9" t="s">
        <v>2797</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9" priority="14" stopIfTrue="1" operator="containsText" text="超过">
      <formula>NOT(ISERROR(SEARCH("超过",F46)))</formula>
    </cfRule>
  </conditionalFormatting>
  <conditionalFormatting sqref="J48">
    <cfRule type="containsText" dxfId="48" priority="13" stopIfTrue="1" operator="containsText" text="超过">
      <formula>NOT(ISERROR(SEARCH("超过",J48)))</formula>
    </cfRule>
  </conditionalFormatting>
  <conditionalFormatting sqref="H48">
    <cfRule type="containsText" dxfId="47" priority="12" stopIfTrue="1" operator="containsText" text="超过">
      <formula>NOT(ISERROR(SEARCH("超过",H48)))</formula>
    </cfRule>
  </conditionalFormatting>
  <conditionalFormatting sqref="F48">
    <cfRule type="containsText" dxfId="46" priority="11" stopIfTrue="1" operator="containsText" text="超过">
      <formula>NOT(ISERROR(SEARCH("超过",F48)))</formula>
    </cfRule>
  </conditionalFormatting>
  <conditionalFormatting sqref="F47 H47 J47">
    <cfRule type="containsText" dxfId="45" priority="10" stopIfTrue="1" operator="containsText" text="超过">
      <formula>NOT(ISERROR(SEARCH("超过",F47)))</formula>
    </cfRule>
  </conditionalFormatting>
  <conditionalFormatting sqref="E46">
    <cfRule type="expression" dxfId="44" priority="9" stopIfTrue="1">
      <formula>$F$46="超过30%"</formula>
    </cfRule>
  </conditionalFormatting>
  <conditionalFormatting sqref="G48">
    <cfRule type="expression" dxfId="43" priority="8" stopIfTrue="1">
      <formula>$H$48="超过30%"</formula>
    </cfRule>
  </conditionalFormatting>
  <conditionalFormatting sqref="E48">
    <cfRule type="expression" dxfId="42" priority="6" stopIfTrue="1">
      <formula>$F$48="超过30%"</formula>
    </cfRule>
  </conditionalFormatting>
  <conditionalFormatting sqref="G46">
    <cfRule type="expression" dxfId="41" priority="5" stopIfTrue="1">
      <formula>$H$46="超过30%"</formula>
    </cfRule>
  </conditionalFormatting>
  <conditionalFormatting sqref="G47">
    <cfRule type="expression" dxfId="40" priority="4" stopIfTrue="1">
      <formula>$H$47="超过20%"</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conditionalFormatting sqref="E47">
    <cfRule type="expression" dxfId="3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2799</v>
      </c>
      <c r="B1" s="241"/>
      <c r="C1" s="245" t="s">
        <v>2800</v>
      </c>
      <c r="D1" s="388">
        <f>SUM(D29:D30,D33:D39)</f>
        <v>0</v>
      </c>
      <c r="E1" s="2720"/>
      <c r="F1" s="2720"/>
      <c r="G1" s="2720"/>
      <c r="H1" s="2720"/>
      <c r="I1" s="2720"/>
      <c r="J1" s="2720"/>
      <c r="K1" s="1371"/>
      <c r="L1" s="2721" t="s">
        <v>2801</v>
      </c>
      <c r="M1" s="1081">
        <f>SUMPRODUCT((区片价!B5:B9=I2)*(区片价!C3:F3=E2)*(区片价!C5:F9))</f>
        <v>0</v>
      </c>
      <c r="N1" s="1084">
        <f>SUMPRODUCT((因素修正幅度!B5:B9=I2)*(因素修正幅度!C3:F3=E2)*(因素修正幅度!C5:F9))</f>
        <v>0</v>
      </c>
      <c r="O1" s="2722"/>
      <c r="P1" s="2722"/>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24" t="s">
        <v>2808</v>
      </c>
      <c r="D2" s="2725" t="s">
        <v>2809</v>
      </c>
      <c r="E2" s="2726"/>
      <c r="F2" s="2725" t="s">
        <v>2810</v>
      </c>
      <c r="G2" s="2727">
        <f>IF(E2="商业",项目基本情况!B37,IF(E2="办公",项目基本情况!C37,IF(E2="住宅",项目基本情况!D37,项目基本情况!E37)))</f>
        <v>0</v>
      </c>
      <c r="H2" s="2725" t="s">
        <v>2811</v>
      </c>
      <c r="I2" s="2727">
        <f>IF(E2="商业",项目基本情况!B38,IF(E2="办公",项目基本情况!C38,IF(E2="住宅",项目基本情况!D38,项目基本情况!E38)))</f>
        <v>0</v>
      </c>
      <c r="J2" s="2728"/>
      <c r="K2" s="1371"/>
      <c r="L2" s="2729"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24" t="s">
        <v>2814</v>
      </c>
      <c r="D3" s="2725" t="s">
        <v>2815</v>
      </c>
      <c r="E3" s="2730"/>
      <c r="F3" s="2731" t="s">
        <v>2816</v>
      </c>
      <c r="G3" s="914">
        <f>IF(F3="宗地容积率",'数据-汇总表'!I4,IF(F3="估价对象容积率",'数据-汇总表'!I6,'数据-汇总表'!I7))</f>
        <v>1.24</v>
      </c>
      <c r="H3" s="198" t="s">
        <v>2817</v>
      </c>
      <c r="I3" s="945"/>
      <c r="J3" s="2728" t="s">
        <v>2818</v>
      </c>
      <c r="K3" s="1371"/>
      <c r="L3" s="2729"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52"/>
      <c r="B4" s="3353"/>
      <c r="C4" s="3353"/>
      <c r="D4" s="3354"/>
      <c r="E4" s="3354"/>
      <c r="F4" s="3354"/>
      <c r="G4" s="3354"/>
      <c r="H4" s="3354"/>
      <c r="I4" s="3354"/>
      <c r="J4" s="3355"/>
      <c r="K4" s="1371"/>
      <c r="L4" s="2729"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2821</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2823</v>
      </c>
      <c r="B6" s="2743" t="s">
        <v>2824</v>
      </c>
      <c r="C6" s="916">
        <f>SUMIF(L1:L12,G2,M1:M12)</f>
        <v>0</v>
      </c>
      <c r="D6" s="2744" t="s">
        <v>2825</v>
      </c>
      <c r="E6" s="2745"/>
      <c r="F6" s="2745"/>
      <c r="G6" s="2746"/>
      <c r="H6" s="2746"/>
      <c r="I6" s="2746"/>
      <c r="J6" s="2747"/>
      <c r="K6" s="1843"/>
      <c r="L6" s="2729"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338" t="str">
        <f>IF(E2="商业",IF(C8="不临58条商业街","",2),"")</f>
        <v/>
      </c>
      <c r="B7" s="2748" t="s">
        <v>2827</v>
      </c>
      <c r="C7" s="917" t="e">
        <f>IF(C8="不临58条商业街",1,ROUND(1+(1.6*E8+1.2*E9+0.8*E10+0.4*E11)*C9,4))</f>
        <v>#DIV/0!</v>
      </c>
      <c r="D7" s="2749" t="s">
        <v>2828</v>
      </c>
      <c r="E7" s="946"/>
      <c r="F7" s="2750"/>
      <c r="G7" s="2751"/>
      <c r="H7" s="2751"/>
      <c r="I7" s="2751"/>
      <c r="J7" s="2752"/>
      <c r="K7" s="1843"/>
      <c r="L7" s="2729"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1.24</v>
      </c>
      <c r="AA7" s="1607"/>
      <c r="AB7" s="1607"/>
      <c r="AC7" s="1608"/>
      <c r="AD7" s="1609"/>
      <c r="AE7" s="1609"/>
      <c r="AF7" s="1609"/>
      <c r="AG7" s="1609"/>
      <c r="AH7" s="1609"/>
      <c r="AI7" s="1609"/>
      <c r="AJ7" s="1610"/>
    </row>
    <row r="8" spans="1:36" ht="15">
      <c r="A8" s="3339"/>
      <c r="B8" s="198" t="s">
        <v>2832</v>
      </c>
      <c r="C8" s="2753"/>
      <c r="D8" s="918" t="s">
        <v>139</v>
      </c>
      <c r="E8" s="919" t="e">
        <f>ROUND(C11/E7,4)</f>
        <v>#DIV/0!</v>
      </c>
      <c r="F8" s="2754" t="s">
        <v>2833</v>
      </c>
      <c r="G8" s="2755"/>
      <c r="H8" s="2755"/>
      <c r="I8" s="2755"/>
      <c r="J8" s="2756"/>
      <c r="K8" s="1371"/>
      <c r="L8" s="2729"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49" t="s">
        <v>2835</v>
      </c>
      <c r="X8" s="3350"/>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39"/>
      <c r="B9" s="198" t="s">
        <v>2848</v>
      </c>
      <c r="C9" s="920">
        <f>SUMIF(修正!C59:C119,C8,修正!E59:E119)</f>
        <v>0</v>
      </c>
      <c r="D9" s="200" t="s">
        <v>140</v>
      </c>
      <c r="E9" s="200" t="e">
        <f>ROUND(C11/E7,4)</f>
        <v>#DIV/0!</v>
      </c>
      <c r="F9" s="2754" t="s">
        <v>2849</v>
      </c>
      <c r="G9" s="2755"/>
      <c r="H9" s="2755"/>
      <c r="I9" s="2755"/>
      <c r="J9" s="2756"/>
      <c r="K9" s="1371"/>
      <c r="L9" s="2729"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51"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9"/>
      <c r="B10" s="198" t="s">
        <v>2853</v>
      </c>
      <c r="C10" s="200">
        <f>SUMIF(修正!C59:C119,C8,修正!F59:F119)</f>
        <v>0</v>
      </c>
      <c r="D10" s="200" t="s">
        <v>141</v>
      </c>
      <c r="E10" s="200" t="e">
        <f>ROUND(C11/E7,4)</f>
        <v>#DIV/0!</v>
      </c>
      <c r="F10" s="2754" t="s">
        <v>2854</v>
      </c>
      <c r="G10" s="2755"/>
      <c r="H10" s="2755"/>
      <c r="I10" s="2755"/>
      <c r="J10" s="2756"/>
      <c r="K10" s="1371"/>
      <c r="L10" s="2729"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5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9"/>
      <c r="B11" s="2757" t="s">
        <v>2856</v>
      </c>
      <c r="C11" s="921">
        <f>C10/4</f>
        <v>0</v>
      </c>
      <c r="D11" s="921" t="s">
        <v>142</v>
      </c>
      <c r="E11" s="921" t="e">
        <f>ROUND(C11/E7,4)</f>
        <v>#DIV/0!</v>
      </c>
      <c r="F11" s="2758" t="s">
        <v>2857</v>
      </c>
      <c r="G11" s="2759"/>
      <c r="H11" s="2759"/>
      <c r="I11" s="2759"/>
      <c r="J11" s="2760"/>
      <c r="K11" s="1371"/>
      <c r="L11" s="2729"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51" t="s">
        <v>2859</v>
      </c>
      <c r="X11" s="1615" t="s">
        <v>2860</v>
      </c>
      <c r="Y11" s="1616">
        <f>$G$3</f>
        <v>1.24</v>
      </c>
      <c r="Z11" s="1616">
        <f t="shared" ref="Z11:AJ11" si="3">$G$3</f>
        <v>1.24</v>
      </c>
      <c r="AA11" s="1616">
        <f t="shared" si="3"/>
        <v>1.24</v>
      </c>
      <c r="AB11" s="1616">
        <f t="shared" si="3"/>
        <v>1.24</v>
      </c>
      <c r="AC11" s="1616">
        <f t="shared" si="3"/>
        <v>1.24</v>
      </c>
      <c r="AD11" s="1616">
        <f t="shared" si="3"/>
        <v>1.24</v>
      </c>
      <c r="AE11" s="1616">
        <f t="shared" si="3"/>
        <v>1.24</v>
      </c>
      <c r="AF11" s="1616">
        <f t="shared" si="3"/>
        <v>1.24</v>
      </c>
      <c r="AG11" s="1616">
        <f t="shared" si="3"/>
        <v>1.24</v>
      </c>
      <c r="AH11" s="1616">
        <f t="shared" si="3"/>
        <v>1.24</v>
      </c>
      <c r="AI11" s="1616">
        <f t="shared" si="3"/>
        <v>1.24</v>
      </c>
      <c r="AJ11" s="1616">
        <f t="shared" si="3"/>
        <v>1.24</v>
      </c>
    </row>
    <row r="12" spans="1:36" ht="25.5" thickBot="1">
      <c r="A12" s="3338" t="s">
        <v>2861</v>
      </c>
      <c r="B12" s="2761" t="s">
        <v>2862</v>
      </c>
      <c r="C12" s="917">
        <f>ROUND(C15*D15*E15*F15*G15*H15*I15*J15,4)</f>
        <v>1</v>
      </c>
      <c r="D12" s="2762" t="s">
        <v>2863</v>
      </c>
      <c r="E12" s="2763"/>
      <c r="F12" s="2763"/>
      <c r="G12" s="2764"/>
      <c r="H12" s="2764"/>
      <c r="I12" s="2764"/>
      <c r="J12" s="2765"/>
      <c r="K12" s="1371"/>
      <c r="L12" s="2766"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51"/>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56"/>
      <c r="B13" s="2767" t="s">
        <v>2866</v>
      </c>
      <c r="C13" s="2768" t="s">
        <v>2867</v>
      </c>
      <c r="D13" s="1809" t="s">
        <v>2868</v>
      </c>
      <c r="E13" s="1809" t="s">
        <v>2869</v>
      </c>
      <c r="F13" s="30" t="s">
        <v>2870</v>
      </c>
      <c r="G13" s="2769" t="s">
        <v>2871</v>
      </c>
      <c r="H13" s="2769" t="s">
        <v>2871</v>
      </c>
      <c r="I13" s="2769" t="s">
        <v>2871</v>
      </c>
      <c r="J13" s="2770" t="s">
        <v>2871</v>
      </c>
      <c r="K13" s="1371"/>
      <c r="L13" s="1371"/>
      <c r="M13" s="1371"/>
      <c r="N13" s="1371"/>
      <c r="O13" s="1371"/>
      <c r="P13" s="1371"/>
      <c r="Q13" s="1371"/>
      <c r="R13" s="1603">
        <v>12</v>
      </c>
      <c r="S13" s="1604"/>
      <c r="T13" s="1603" t="e">
        <f t="shared" si="0"/>
        <v>#DIV/0!</v>
      </c>
      <c r="U13" s="1604"/>
      <c r="V13" s="1603" t="e">
        <f t="shared" si="1"/>
        <v>#DIV/0!</v>
      </c>
      <c r="W13" s="3351"/>
      <c r="X13" s="1617"/>
      <c r="Y13" s="1614">
        <f>(-0.163*(Y12^2)-0.59*Y12+7617)*(10^(-4))/Y11</f>
        <v>0.61427419354838708</v>
      </c>
      <c r="Z13" s="1614">
        <f t="shared" ref="Z13:AJ13" si="5">(-0.163*(Z12^2)-0.59*Z12+7617)*(10^(-4))/Z11</f>
        <v>0.61427419354838708</v>
      </c>
      <c r="AA13" s="1614">
        <f t="shared" si="5"/>
        <v>0.61427419354838708</v>
      </c>
      <c r="AB13" s="1614">
        <f t="shared" si="5"/>
        <v>0.61427419354838708</v>
      </c>
      <c r="AC13" s="1614">
        <f t="shared" si="5"/>
        <v>0.61427419354838708</v>
      </c>
      <c r="AD13" s="1614">
        <f t="shared" si="5"/>
        <v>0.61427419354838708</v>
      </c>
      <c r="AE13" s="1614">
        <f t="shared" si="5"/>
        <v>0.61427419354838708</v>
      </c>
      <c r="AF13" s="1614">
        <f t="shared" si="5"/>
        <v>0.61427419354838708</v>
      </c>
      <c r="AG13" s="1614">
        <f t="shared" si="5"/>
        <v>0.61427419354838708</v>
      </c>
      <c r="AH13" s="1614">
        <f t="shared" si="5"/>
        <v>0.61427419354838708</v>
      </c>
      <c r="AI13" s="1614">
        <f t="shared" si="5"/>
        <v>0.61427419354838708</v>
      </c>
      <c r="AJ13" s="1614">
        <f t="shared" si="5"/>
        <v>0.61427419354838708</v>
      </c>
    </row>
    <row r="14" spans="1:36" ht="15">
      <c r="A14" s="3356"/>
      <c r="B14" s="2771"/>
      <c r="C14" s="2772"/>
      <c r="D14" s="2773"/>
      <c r="E14" s="2773"/>
      <c r="F14" s="2774"/>
      <c r="G14" s="2775" t="s">
        <v>2872</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57"/>
      <c r="B15" s="2779" t="s">
        <v>2873</v>
      </c>
      <c r="C15" s="229">
        <f>IF(C14="有",1.1,1)</f>
        <v>1</v>
      </c>
      <c r="D15" s="229">
        <f>IF(D14="有",1.1,1)</f>
        <v>1</v>
      </c>
      <c r="E15" s="229">
        <f>IF(E14="有",1.1,1)</f>
        <v>1</v>
      </c>
      <c r="F15" s="229">
        <f>IF(F14="500米范围内",1.2,IF(F14="500-1000米",1.1,1))</f>
        <v>1</v>
      </c>
      <c r="G15" s="947">
        <v>1</v>
      </c>
      <c r="H15" s="947">
        <v>1</v>
      </c>
      <c r="I15" s="947">
        <v>1</v>
      </c>
      <c r="J15" s="948">
        <v>1</v>
      </c>
      <c r="K15" s="1371"/>
      <c r="L15" s="2780" t="s">
        <v>2809</v>
      </c>
      <c r="M15" s="918" t="s">
        <v>2874</v>
      </c>
      <c r="N15" s="918" t="s">
        <v>2875</v>
      </c>
      <c r="O15" s="918" t="s">
        <v>2876</v>
      </c>
      <c r="P15" s="2781"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38" t="s">
        <v>2878</v>
      </c>
      <c r="B16" s="2748" t="s">
        <v>2879</v>
      </c>
      <c r="C16" s="1802" t="e">
        <f>ROUND(SUM(G17:J17)/C17,0)</f>
        <v>#DIV/0!</v>
      </c>
      <c r="D16" s="2782" t="s">
        <v>2880</v>
      </c>
      <c r="E16" s="2783"/>
      <c r="F16" s="2784"/>
      <c r="G16" s="2785"/>
      <c r="H16" s="2785"/>
      <c r="I16" s="2785"/>
      <c r="J16" s="2786"/>
      <c r="K16" s="1371"/>
      <c r="L16" s="2787"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39"/>
      <c r="B17" s="2788" t="s">
        <v>2882</v>
      </c>
      <c r="C17" s="922">
        <f>SUMPRODUCT((修正!A2:A5=E2)*(修正!B1:M1=G2)*(修正!B2:M5))</f>
        <v>0</v>
      </c>
      <c r="D17" s="2789"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2886</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2887</v>
      </c>
      <c r="C19" s="925" t="e">
        <f>ROUND(IF(H19="按公示增长率计算",SUMPRODUCT((地价!A3:A22=YEAR(G19)&amp;"-"&amp;ROUNDUP(MONTH(G19)/3,0))*(地价!X2:AB2=E2)*(地价!X3:AB22)),IF(H19="地价指数",M20/M19,(1+I19)^O19)),4)</f>
        <v>#DIV/0!</v>
      </c>
      <c r="D19" s="2800" t="s">
        <v>2888</v>
      </c>
      <c r="E19" s="926">
        <v>41640</v>
      </c>
      <c r="F19" s="2800" t="s">
        <v>2889</v>
      </c>
      <c r="G19" s="927">
        <f>'数据-取费表'!B2</f>
        <v>43251</v>
      </c>
      <c r="H19" s="2801" t="s">
        <v>2890</v>
      </c>
      <c r="I19" s="928" t="str">
        <f>IF(H19="季度增幅（自定义）",SUMIF(N21:N24,E2,O21:O24),"")</f>
        <v/>
      </c>
      <c r="J19" s="2798"/>
      <c r="K19" s="1378"/>
      <c r="L19" s="2802" t="s">
        <v>2891</v>
      </c>
      <c r="M19" s="1735">
        <f>ROUND(SUMIF(地价!B2:F2,E2,地价!B22:F22),0)</f>
        <v>0</v>
      </c>
      <c r="N19" s="2803" t="s">
        <v>2892</v>
      </c>
      <c r="O19" s="929">
        <f>ROUNDDOWN(DATEDIF(E19,G19,"M")/3,0)</f>
        <v>17</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2893</v>
      </c>
      <c r="C20" s="930" t="e">
        <f>ROUND(POWER(1+G20,J20-I20)*(POWER(1+G20,I20)-1)/(POWER(1+G20,J20)-1),4)</f>
        <v>#DIV/0!</v>
      </c>
      <c r="D20" s="2809" t="s">
        <v>2894</v>
      </c>
      <c r="E20" s="1769">
        <f ca="1">存贷款利率!D4/100</f>
        <v>4.3499999999999997E-2</v>
      </c>
      <c r="F20" s="2809" t="s">
        <v>2885</v>
      </c>
      <c r="G20" s="935">
        <f>SUMIF(M15:P15,E2,M17:P17)</f>
        <v>0</v>
      </c>
      <c r="H20" s="2809" t="s">
        <v>2895</v>
      </c>
      <c r="I20" s="936" t="e">
        <f>SUMIF('数据-取费表'!C6:C15,E2,'数据-取费表'!F6:F15)/COUNTIF('数据-取费表'!C6:C15,E2)</f>
        <v>#DIV/0!</v>
      </c>
      <c r="J20" s="937">
        <f>IF(E2="住宅",70,IF(E2="商业",40,50))</f>
        <v>50</v>
      </c>
      <c r="K20" s="1378"/>
      <c r="L20" s="2810" t="s">
        <v>2896</v>
      </c>
      <c r="M20" s="1736">
        <f>ROUND(SUMPRODUCT((地价!A4:A22=YEAR(G19)&amp;"-"&amp;ROUNDUP(MONTH(G19)/3,0))*(地价!B2:F2=E2)*(地价!B4:F22)),0)</f>
        <v>0</v>
      </c>
      <c r="N20" s="2811" t="s">
        <v>2897</v>
      </c>
      <c r="O20" s="2812" t="s">
        <v>2898</v>
      </c>
      <c r="P20" s="2813" t="s">
        <v>2899</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2900</v>
      </c>
      <c r="C21" s="938">
        <f>IF(B21="容积率修正",IF(G3&lt;=10,D22,J22),C23)</f>
        <v>0</v>
      </c>
      <c r="D21" s="2816"/>
      <c r="E21" s="2816"/>
      <c r="F21" s="2816"/>
      <c r="G21" s="2816"/>
      <c r="H21" s="2816"/>
      <c r="I21" s="2816"/>
      <c r="J21" s="2817"/>
      <c r="K21" s="1378"/>
      <c r="N21" s="2818" t="s">
        <v>2901</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2902</v>
      </c>
      <c r="B22" s="2819" t="s">
        <v>2903</v>
      </c>
      <c r="C22" s="1811" t="s">
        <v>2904</v>
      </c>
      <c r="D22" s="1811">
        <f>IF(E22=G22,F22,IF(G3&lt;=10,ROUND(F22+(H22-F22)*(G3-E22)/(G22-E22),4),"——"))</f>
        <v>0</v>
      </c>
      <c r="E22" s="914">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2905</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7" t="s">
        <v>2906</v>
      </c>
      <c r="B23" s="2820" t="s">
        <v>2907</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2908</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2909</v>
      </c>
      <c r="C24" s="925">
        <f>SUMIF(A45:A88,E2,B45:B88)</f>
        <v>0</v>
      </c>
      <c r="D24" s="2796"/>
      <c r="E24" s="2826"/>
      <c r="F24" s="2826"/>
      <c r="G24" s="2826"/>
      <c r="H24" s="2826"/>
      <c r="I24" s="2826"/>
      <c r="J24" s="2827"/>
      <c r="K24" s="1378"/>
      <c r="N24" s="2828" t="s">
        <v>2910</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2911</v>
      </c>
      <c r="C25" s="931"/>
      <c r="D25" s="2751"/>
      <c r="E25" s="2751"/>
      <c r="F25" s="2830"/>
      <c r="G25" s="2751"/>
      <c r="H25" s="2751"/>
      <c r="I25" s="2751"/>
      <c r="J25" s="2752"/>
      <c r="K25" s="1371"/>
      <c r="N25" s="2831" t="s">
        <v>2912</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2"/>
      <c r="B26" s="2819" t="s">
        <v>2913</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2914</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2915</v>
      </c>
      <c r="C28" s="2843" t="s">
        <v>2916</v>
      </c>
      <c r="D28" s="2843" t="s">
        <v>2917</v>
      </c>
      <c r="E28" s="2844" t="s">
        <v>2918</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2919</v>
      </c>
      <c r="C29" s="206" t="e">
        <f>ROUND(C5*C18*C19*C20*C21*C24,0)</f>
        <v>#DIV/0!</v>
      </c>
      <c r="D29" s="2848"/>
      <c r="E29" s="943" t="e">
        <f>ROUND(C29*D29/10000,0)</f>
        <v>#DIV/0!</v>
      </c>
      <c r="F29" s="2849" t="s">
        <v>2920</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2921</v>
      </c>
      <c r="C30" s="229" t="e">
        <f>ROUND(IF(E2="工业",C29*M39,C29*M38),0)</f>
        <v>#DIV/0!</v>
      </c>
      <c r="D30" s="2854"/>
      <c r="E30" s="943" t="e">
        <f>ROUND(C30*D30/10000,0)</f>
        <v>#DIV/0!</v>
      </c>
      <c r="F30" s="2855" t="s">
        <v>2922</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46" t="s">
        <v>2927</v>
      </c>
      <c r="B33" s="2864" t="s">
        <v>2928</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7"/>
      <c r="B34" s="2768" t="s">
        <v>2929</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7"/>
      <c r="B35" s="2768" t="s">
        <v>2930</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48"/>
      <c r="B36" s="2768" t="s">
        <v>2931</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2932</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1"/>
      <c r="L37" s="2867" t="s">
        <v>2933</v>
      </c>
      <c r="M37" s="2868"/>
      <c r="N37" s="1371"/>
      <c r="O37" s="1371"/>
      <c r="P37" s="1371"/>
      <c r="Q37" s="1371"/>
      <c r="R37" s="1371"/>
      <c r="S37" s="1371"/>
      <c r="T37" s="1371"/>
      <c r="U37" s="1371"/>
      <c r="V37" s="1371"/>
      <c r="W37" s="1371"/>
      <c r="X37" s="1371"/>
      <c r="Y37" s="1371"/>
      <c r="Z37" s="1372"/>
    </row>
    <row r="38" spans="1:37">
      <c r="A38" s="2866"/>
      <c r="B38" s="2768" t="s">
        <v>2934</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1"/>
      <c r="L38" s="1888" t="s">
        <v>2935</v>
      </c>
      <c r="M38" s="2869">
        <v>0.25</v>
      </c>
      <c r="N38" s="1371"/>
      <c r="O38" s="1371"/>
      <c r="P38" s="1371"/>
      <c r="Q38" s="1371"/>
      <c r="R38" s="1371"/>
      <c r="S38" s="1371"/>
      <c r="T38" s="1371"/>
      <c r="U38" s="1371"/>
      <c r="V38" s="1371"/>
      <c r="W38" s="1371"/>
      <c r="X38" s="1371"/>
      <c r="Y38" s="1371"/>
      <c r="Z38" s="1372"/>
    </row>
    <row r="39" spans="1:37" ht="13.5" thickBot="1">
      <c r="A39" s="2852"/>
      <c r="B39" s="2870" t="s">
        <v>2936</v>
      </c>
      <c r="C39" s="229" t="e">
        <f>ROUND(C5*C19*C20*C24*F39,0)</f>
        <v>#DIV/0!</v>
      </c>
      <c r="D39" s="2854"/>
      <c r="E39" s="229" t="e">
        <f t="shared" si="7"/>
        <v>#DIV/0!</v>
      </c>
      <c r="F39" s="933">
        <f>SUMIF(修正!A45:A56,G2,修正!H45:H56)</f>
        <v>0</v>
      </c>
      <c r="G39" s="229" t="e">
        <f t="shared" si="6"/>
        <v>#DIV/0!</v>
      </c>
      <c r="H39" s="229">
        <f t="shared" si="8"/>
        <v>0</v>
      </c>
      <c r="I39" s="229" t="e">
        <f t="shared" si="9"/>
        <v>#DIV/0!</v>
      </c>
      <c r="J39" s="2871"/>
      <c r="K39" s="1371"/>
      <c r="L39" s="2872" t="s">
        <v>2877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2937</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2938</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2939</v>
      </c>
      <c r="B47" s="1810" t="s">
        <v>2940</v>
      </c>
      <c r="C47" s="1810" t="s">
        <v>2941</v>
      </c>
      <c r="D47" s="1810" t="s">
        <v>2942</v>
      </c>
      <c r="E47" s="817" t="s">
        <v>2943</v>
      </c>
      <c r="F47" s="2882" t="s">
        <v>2944</v>
      </c>
      <c r="G47" s="1810" t="s">
        <v>754</v>
      </c>
      <c r="H47" s="2883"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81" t="s">
        <v>2947</v>
      </c>
      <c r="B48" s="2884" t="str">
        <f>估价对象房地状况!C4</f>
        <v>周边有弘钰博古玩城、北京五环大酒店、十里河文化园等商业项目，商业繁华度较好。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2948</v>
      </c>
      <c r="B49" s="2885" t="str">
        <f>估价对象房地状况!C18</f>
        <v>周边有28、53、621、638路等多条公交线路及地铁10、14号线经过，交通便捷度较好。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2949</v>
      </c>
      <c r="B50" s="2885" t="str">
        <f>估价对象房地状况!C19</f>
        <v>较一致</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2950</v>
      </c>
      <c r="B51" s="2886" t="s">
        <v>2951</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2952</v>
      </c>
      <c r="B52" s="2885" t="str">
        <f>估价对象房地状况!C24</f>
        <v>城市快速路-东三环南路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2953</v>
      </c>
      <c r="B53" s="2887" t="s">
        <v>2954</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88" t="s">
        <v>2955</v>
      </c>
      <c r="B54" s="1726" t="str">
        <f>估价对象房地状况!C21</f>
        <v>周边有汉华购物中心、晓慧便民超市、北京中山医院等，公共服务配套设施齐备度较好。</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2956</v>
      </c>
      <c r="B55" s="2885" t="str">
        <f>估价对象房地状况!C22</f>
        <v>估价对象所在区域基础设施水平七通</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9" t="s">
        <v>2957</v>
      </c>
      <c r="B56" s="2890" t="str">
        <f>估价对象房地状况!C20</f>
        <v>周边2公里内有龙潭湖、北京工业大学等，周边无大型污染源，综合考虑自然及人文环境较好。</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2958</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2939</v>
      </c>
      <c r="B58" s="1810"/>
      <c r="C58" s="1810" t="s">
        <v>2941</v>
      </c>
      <c r="D58" s="1810" t="s">
        <v>2942</v>
      </c>
      <c r="E58" s="817" t="s">
        <v>2943</v>
      </c>
      <c r="F58" s="2882" t="s">
        <v>2959</v>
      </c>
      <c r="G58" s="1810" t="s">
        <v>754</v>
      </c>
      <c r="H58" s="2883"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38.25">
      <c r="A59" s="2881" t="s">
        <v>2960</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2948</v>
      </c>
      <c r="B60" s="2885" t="str">
        <f>估价对象房地状况!C18</f>
        <v>周边有28、53、621、638路等多条公交线路及地铁10、14号线经过，交通便捷度较好。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2949</v>
      </c>
      <c r="B61" s="2885" t="str">
        <f>估价对象房地状况!C19</f>
        <v>较一致</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2950</v>
      </c>
      <c r="B62" s="2886" t="s">
        <v>2951</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2952</v>
      </c>
      <c r="B63" s="2885" t="str">
        <f>估价对象房地状况!C24</f>
        <v>城市快速路-东三环南路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2953</v>
      </c>
      <c r="B64" s="2887" t="s">
        <v>2954</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81" t="s">
        <v>2955</v>
      </c>
      <c r="B65" s="1726" t="str">
        <f>估价对象房地状况!C21</f>
        <v>周边有汉华购物中心、晓慧便民超市、北京中山医院等，公共服务配套设施齐备度较好。</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2956</v>
      </c>
      <c r="B66" s="1726" t="str">
        <f>估价对象房地状况!C22</f>
        <v>估价对象所在区域基础设施水平七通</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9" t="s">
        <v>2957</v>
      </c>
      <c r="B67" s="2891" t="str">
        <f>估价对象房地状况!C20</f>
        <v>周边2公里内有龙潭湖、北京工业大学等，周边无大型污染源，综合考虑自然及人文环境较好。</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2961</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2939</v>
      </c>
      <c r="B69" s="1810"/>
      <c r="C69" s="1810" t="s">
        <v>2941</v>
      </c>
      <c r="D69" s="1810" t="s">
        <v>2942</v>
      </c>
      <c r="E69" s="817" t="s">
        <v>2943</v>
      </c>
      <c r="F69" s="2882" t="s">
        <v>2959</v>
      </c>
      <c r="G69" s="1810" t="s">
        <v>754</v>
      </c>
      <c r="H69" s="2883"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51">
      <c r="A70" s="2881" t="s">
        <v>2962</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2948</v>
      </c>
      <c r="B71" s="2885" t="str">
        <f>估价对象房地状况!C18</f>
        <v>周边有28、53、621、638路等多条公交线路及地铁10、14号线经过，交通便捷度较好。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2949</v>
      </c>
      <c r="B72" s="2885" t="str">
        <f>估价对象房地状况!C19</f>
        <v>较一致</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2963</v>
      </c>
      <c r="B73" s="2885" t="str">
        <f>估价对象房地状况!C24</f>
        <v>城市快速路-东三环南路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81" t="s">
        <v>2955</v>
      </c>
      <c r="B74" s="1726" t="str">
        <f>估价对象房地状况!C21</f>
        <v>周边有汉华购物中心、晓慧便民超市、北京中山医院等，公共服务配套设施齐备度较好。</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2956</v>
      </c>
      <c r="B75" s="1726" t="str">
        <f>估价对象房地状况!C22</f>
        <v>估价对象所在区域基础设施水平七通</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2953</v>
      </c>
      <c r="B76" s="2887" t="s">
        <v>2954</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51">
      <c r="A77" s="2881" t="s">
        <v>2957</v>
      </c>
      <c r="B77" s="2884" t="str">
        <f>估价对象房地状况!C20</f>
        <v>周边2公里内有龙潭湖、北京工业大学等，周边无大型污染源，综合考虑自然及人文环境较好。</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2964</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2965</v>
      </c>
      <c r="B79" s="2878">
        <f>1+E81</f>
        <v>1</v>
      </c>
      <c r="C79" s="812"/>
      <c r="D79" s="812"/>
      <c r="E79" s="813"/>
      <c r="F79" s="2880"/>
      <c r="G79" s="6"/>
      <c r="H79" s="6"/>
      <c r="I79" s="6"/>
      <c r="J79" s="7"/>
      <c r="K79" s="7"/>
      <c r="L79" s="7"/>
      <c r="M79" s="7"/>
      <c r="N79" s="7"/>
      <c r="Z79" s="2723"/>
      <c r="AA79" s="2799"/>
      <c r="AG79" s="1373"/>
      <c r="AK79" s="2799"/>
    </row>
    <row r="80" spans="1:37" ht="24.75">
      <c r="A80" s="2881" t="s">
        <v>2939</v>
      </c>
      <c r="B80" s="1810"/>
      <c r="C80" s="1810" t="s">
        <v>2941</v>
      </c>
      <c r="D80" s="1810" t="s">
        <v>2942</v>
      </c>
      <c r="E80" s="817" t="s">
        <v>2943</v>
      </c>
      <c r="F80" s="2882" t="s">
        <v>2959</v>
      </c>
      <c r="G80" s="1810" t="s">
        <v>754</v>
      </c>
      <c r="H80" s="2883" t="s">
        <v>2945</v>
      </c>
      <c r="I80" s="1810" t="s">
        <v>2946</v>
      </c>
      <c r="J80" s="603" t="s">
        <v>2592</v>
      </c>
      <c r="K80" s="603" t="s">
        <v>2593</v>
      </c>
      <c r="L80" s="603" t="s">
        <v>2594</v>
      </c>
      <c r="M80" s="603" t="s">
        <v>2595</v>
      </c>
      <c r="N80" s="603" t="s">
        <v>2596</v>
      </c>
      <c r="Z80" s="2723"/>
      <c r="AA80" s="2799"/>
      <c r="AG80" s="1373"/>
      <c r="AK80" s="2799"/>
    </row>
    <row r="81" spans="1:37" ht="38.25">
      <c r="A81" s="2881" t="s">
        <v>2966</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2948</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2949</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2963</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2955</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2956</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2953</v>
      </c>
      <c r="B87" s="2887" t="s">
        <v>2967</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2968</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40" t="s">
        <v>2969</v>
      </c>
      <c r="B90" s="3340"/>
      <c r="C90" s="3340"/>
      <c r="D90" s="3340"/>
      <c r="E90" s="3340"/>
      <c r="F90" s="3340"/>
      <c r="G90" s="3340"/>
      <c r="H90" s="3340"/>
      <c r="I90" s="3340"/>
      <c r="J90" s="3340"/>
      <c r="K90" s="2895"/>
      <c r="L90" s="2895"/>
      <c r="M90" s="2895"/>
      <c r="N90" s="2895"/>
    </row>
    <row r="91" spans="1:37">
      <c r="A91" s="3342" t="s">
        <v>2970</v>
      </c>
      <c r="B91" s="3342" t="s">
        <v>2971</v>
      </c>
      <c r="C91" s="2849" t="s">
        <v>2972</v>
      </c>
      <c r="D91" s="2850"/>
      <c r="E91" s="2850"/>
      <c r="F91" s="2850"/>
      <c r="G91" s="2850"/>
      <c r="H91" s="2850"/>
      <c r="I91" s="2850"/>
      <c r="J91" s="2896"/>
      <c r="K91" s="2897"/>
      <c r="L91" s="2897"/>
      <c r="M91" s="2897"/>
      <c r="N91" s="2897"/>
    </row>
    <row r="92" spans="1:37">
      <c r="A92" s="3342"/>
      <c r="B92" s="3342"/>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43"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4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4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4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4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4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44"/>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4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43" t="s">
        <v>2974</v>
      </c>
      <c r="B101" s="2902" t="s">
        <v>2975</v>
      </c>
      <c r="C101" s="2903">
        <f>$G$3</f>
        <v>1.24</v>
      </c>
      <c r="D101" s="2903">
        <f t="shared" ref="D101:N101" si="31">$G$3</f>
        <v>1.24</v>
      </c>
      <c r="E101" s="2903">
        <f t="shared" si="31"/>
        <v>1.24</v>
      </c>
      <c r="F101" s="2903">
        <f t="shared" si="31"/>
        <v>1.24</v>
      </c>
      <c r="G101" s="2903">
        <f t="shared" si="31"/>
        <v>1.24</v>
      </c>
      <c r="H101" s="2903">
        <f t="shared" si="31"/>
        <v>1.24</v>
      </c>
      <c r="I101" s="2903">
        <f t="shared" si="31"/>
        <v>1.24</v>
      </c>
      <c r="J101" s="2903">
        <f t="shared" si="31"/>
        <v>1.24</v>
      </c>
      <c r="K101" s="2903">
        <f t="shared" si="31"/>
        <v>1.24</v>
      </c>
      <c r="L101" s="2903">
        <f t="shared" si="31"/>
        <v>1.24</v>
      </c>
      <c r="M101" s="2903">
        <f t="shared" si="31"/>
        <v>1.24</v>
      </c>
      <c r="N101" s="2903">
        <f t="shared" si="31"/>
        <v>1.24</v>
      </c>
    </row>
    <row r="102" spans="1:14">
      <c r="A102" s="3344"/>
      <c r="B102" s="2898">
        <v>1</v>
      </c>
      <c r="C102" s="2899">
        <f>1.9362/C101</f>
        <v>1.5614516129032256</v>
      </c>
      <c r="D102" s="2899">
        <f>1.9362/D101</f>
        <v>1.5614516129032256</v>
      </c>
      <c r="E102" s="2899">
        <f>1.8629/E101</f>
        <v>1.5023387096774194</v>
      </c>
      <c r="F102" s="2899">
        <f>1.8629/F101</f>
        <v>1.5023387096774194</v>
      </c>
      <c r="G102" s="2899">
        <f>1.8629/G101</f>
        <v>1.5023387096774194</v>
      </c>
      <c r="H102" s="2899">
        <f>1.8629/H101</f>
        <v>1.5023387096774194</v>
      </c>
      <c r="I102" s="2899">
        <f>1.8629/I101</f>
        <v>1.5023387096774194</v>
      </c>
      <c r="J102" s="2899">
        <f>1.942/J101</f>
        <v>1.5661290322580645</v>
      </c>
      <c r="K102" s="2899">
        <f>1.942/K101</f>
        <v>1.5661290322580645</v>
      </c>
      <c r="L102" s="2899">
        <f>1.942/L101</f>
        <v>1.5661290322580645</v>
      </c>
      <c r="M102" s="2899">
        <f>1.942/M101</f>
        <v>1.5661290322580645</v>
      </c>
      <c r="N102" s="2899">
        <f>1.942/N101</f>
        <v>1.5661290322580645</v>
      </c>
    </row>
    <row r="103" spans="1:14">
      <c r="A103" s="3344"/>
      <c r="B103" s="2898">
        <v>2</v>
      </c>
      <c r="C103" s="2899">
        <f>1.4198/C101</f>
        <v>1.145</v>
      </c>
      <c r="D103" s="2899">
        <f>1.4198/D101</f>
        <v>1.145</v>
      </c>
      <c r="E103" s="2899">
        <f>1.3372/E101</f>
        <v>1.0783870967741935</v>
      </c>
      <c r="F103" s="2899">
        <f>1.3372/F101</f>
        <v>1.0783870967741935</v>
      </c>
      <c r="G103" s="2899">
        <f>1.3372/G101</f>
        <v>1.0783870967741935</v>
      </c>
      <c r="H103" s="2899">
        <f>1.3372/H101</f>
        <v>1.0783870967741935</v>
      </c>
      <c r="I103" s="2899">
        <f>1.3372/I101</f>
        <v>1.0783870967741935</v>
      </c>
      <c r="J103" s="2899">
        <f>1.2799/J101</f>
        <v>1.0321774193548388</v>
      </c>
      <c r="K103" s="2899">
        <f>1.2799/K101</f>
        <v>1.0321774193548388</v>
      </c>
      <c r="L103" s="2899">
        <f>1.2799/L101</f>
        <v>1.0321774193548388</v>
      </c>
      <c r="M103" s="2899">
        <f>1.2799/M101</f>
        <v>1.0321774193548388</v>
      </c>
      <c r="N103" s="2899">
        <f>1.2799/N101</f>
        <v>1.0321774193548388</v>
      </c>
    </row>
    <row r="104" spans="1:14">
      <c r="A104" s="3344"/>
      <c r="B104" s="2898">
        <v>3</v>
      </c>
      <c r="C104" s="2899">
        <f>1.1594/C101</f>
        <v>0.93499999999999994</v>
      </c>
      <c r="D104" s="2899">
        <f>1.1594/D101</f>
        <v>0.93499999999999994</v>
      </c>
      <c r="E104" s="2899">
        <f>1.0788/E101</f>
        <v>0.87</v>
      </c>
      <c r="F104" s="2899">
        <f>1.0788/F101</f>
        <v>0.87</v>
      </c>
      <c r="G104" s="2899">
        <f>1.0788/G101</f>
        <v>0.87</v>
      </c>
      <c r="H104" s="2899">
        <f>1.0788/H101</f>
        <v>0.87</v>
      </c>
      <c r="I104" s="2899">
        <f>1.0788/I101</f>
        <v>0.87</v>
      </c>
      <c r="J104" s="2899">
        <f>1.0072/J101</f>
        <v>0.81225806451612914</v>
      </c>
      <c r="K104" s="2899">
        <f>1.0072/K101</f>
        <v>0.81225806451612914</v>
      </c>
      <c r="L104" s="2899">
        <f>1.0072/L101</f>
        <v>0.81225806451612914</v>
      </c>
      <c r="M104" s="2899">
        <f>1.0072/M101</f>
        <v>0.81225806451612914</v>
      </c>
      <c r="N104" s="2899">
        <f>1.0072/N101</f>
        <v>0.81225806451612914</v>
      </c>
    </row>
    <row r="105" spans="1:14">
      <c r="A105" s="3344"/>
      <c r="B105" s="2898">
        <v>4</v>
      </c>
      <c r="C105" s="2899">
        <f>0.9622/C101</f>
        <v>0.7759677419354839</v>
      </c>
      <c r="D105" s="2899">
        <f>0.9622/D101</f>
        <v>0.7759677419354839</v>
      </c>
      <c r="E105" s="2899">
        <f>0.8656/E101</f>
        <v>0.69806451612903231</v>
      </c>
      <c r="F105" s="2899">
        <f>0.8656/F101</f>
        <v>0.69806451612903231</v>
      </c>
      <c r="G105" s="2899">
        <f>0.8656/G101</f>
        <v>0.69806451612903231</v>
      </c>
      <c r="H105" s="2899">
        <f>0.8656/H101</f>
        <v>0.69806451612903231</v>
      </c>
      <c r="I105" s="2899">
        <f>0.8656/I101</f>
        <v>0.69806451612903231</v>
      </c>
      <c r="J105" s="2899">
        <f>0.7525/J101</f>
        <v>0.60685483870967738</v>
      </c>
      <c r="K105" s="2899">
        <f>0.7525/K101</f>
        <v>0.60685483870967738</v>
      </c>
      <c r="L105" s="2899">
        <f>0.7525/L101</f>
        <v>0.60685483870967738</v>
      </c>
      <c r="M105" s="2899">
        <f>0.7525/M101</f>
        <v>0.60685483870967738</v>
      </c>
      <c r="N105" s="2899">
        <f>0.7525/N101</f>
        <v>0.60685483870967738</v>
      </c>
    </row>
    <row r="106" spans="1:14">
      <c r="A106" s="3344"/>
      <c r="B106" s="2898">
        <v>5</v>
      </c>
      <c r="C106" s="2899">
        <f>0.8417/C101</f>
        <v>0.6787903225806452</v>
      </c>
      <c r="D106" s="2899">
        <f>0.8417/D101</f>
        <v>0.6787903225806452</v>
      </c>
      <c r="E106" s="2899">
        <f>0.7371/E101</f>
        <v>0.59443548387096767</v>
      </c>
      <c r="F106" s="2899">
        <f>0.7371/F101</f>
        <v>0.59443548387096767</v>
      </c>
      <c r="G106" s="2899">
        <f>0.7371/G101</f>
        <v>0.59443548387096767</v>
      </c>
      <c r="H106" s="2899">
        <f>0.7371/H101</f>
        <v>0.59443548387096767</v>
      </c>
      <c r="I106" s="2899">
        <f>0.7371/I101</f>
        <v>0.59443548387096767</v>
      </c>
      <c r="J106" s="2899">
        <f>0.5659/J101</f>
        <v>0.45637096774193547</v>
      </c>
      <c r="K106" s="2899">
        <f>0.5659/K101</f>
        <v>0.45637096774193547</v>
      </c>
      <c r="L106" s="2899">
        <f>0.5659/L101</f>
        <v>0.45637096774193547</v>
      </c>
      <c r="M106" s="2899">
        <f>0.5659/M101</f>
        <v>0.45637096774193547</v>
      </c>
      <c r="N106" s="2899">
        <f>0.5659/N101</f>
        <v>0.45637096774193547</v>
      </c>
    </row>
    <row r="107" spans="1:14">
      <c r="A107" s="3344"/>
      <c r="B107" s="2898">
        <v>6</v>
      </c>
      <c r="C107" s="2899">
        <f>0.7608/C101</f>
        <v>0.61354838709677417</v>
      </c>
      <c r="D107" s="2899">
        <f>0.7608/D101</f>
        <v>0.61354838709677417</v>
      </c>
      <c r="E107" s="2899">
        <f>0.6482/E101</f>
        <v>0.52274193548387093</v>
      </c>
      <c r="F107" s="2899">
        <f>0.6482/F101</f>
        <v>0.52274193548387093</v>
      </c>
      <c r="G107" s="2899">
        <f>0.6482/G101</f>
        <v>0.52274193548387093</v>
      </c>
      <c r="H107" s="2899">
        <f>0.6482/H101</f>
        <v>0.52274193548387093</v>
      </c>
      <c r="I107" s="2899">
        <f>0.6482/I101</f>
        <v>0.52274193548387093</v>
      </c>
      <c r="J107" s="2899">
        <f>0.4525/J101</f>
        <v>0.36491935483870969</v>
      </c>
      <c r="K107" s="2899">
        <f>0.4525/K101</f>
        <v>0.36491935483870969</v>
      </c>
      <c r="L107" s="2899">
        <f>0.4525/L101</f>
        <v>0.36491935483870969</v>
      </c>
      <c r="M107" s="2899">
        <f>0.4525/M101</f>
        <v>0.36491935483870969</v>
      </c>
      <c r="N107" s="2899">
        <f>0.4525/N101</f>
        <v>0.36491935483870969</v>
      </c>
    </row>
    <row r="108" spans="1:14">
      <c r="A108" s="3344"/>
      <c r="B108" s="3169" t="s">
        <v>2976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45"/>
      <c r="B109" s="3170"/>
      <c r="C109" s="2901">
        <f>(-0.163*(C108^2)-0.59*C108+7617)*(10^(-4))/C101</f>
        <v>0.61427419354838708</v>
      </c>
      <c r="D109" s="2901">
        <f>(-0.163*(D108^2)-0.59*D108+7617)*(10^(-4))/D101</f>
        <v>0.61427419354838708</v>
      </c>
      <c r="E109" s="2901">
        <f>(-0.161*(E108^2)-7.509*E108+6533)*(10^(-4))/E101</f>
        <v>0.52685483870967742</v>
      </c>
      <c r="F109" s="2901">
        <f>(-0.161*(F108^2)-7.509*F108+6533)*(10^(-4))/F101</f>
        <v>0.52685483870967742</v>
      </c>
      <c r="G109" s="2901">
        <f>(-0.161*(G108^2)-7.509*G108+6533)*(10^(-4))/G101</f>
        <v>0.52685483870967742</v>
      </c>
      <c r="H109" s="2901">
        <f>(-0.161*(H108^2)-7.509*H108+6533)*(10^(-4))/H101</f>
        <v>0.52685483870967742</v>
      </c>
      <c r="I109" s="2901">
        <f>(-0.161*(I108^2)-7.509*I108+6533)*(10^(-4))/I101</f>
        <v>0.52685483870967742</v>
      </c>
      <c r="J109" s="2901">
        <f>(-0.214*(J108^2)-21.991*J108+4665)*(10^(-4))/J101</f>
        <v>0.37620967741935485</v>
      </c>
      <c r="K109" s="2901">
        <f>(-0.214*(K108^2)-21.991*K108+4665)*(10^(-4))/K101</f>
        <v>0.37620967741935485</v>
      </c>
      <c r="L109" s="2901">
        <f>(-0.214*(L108^2)-21.991*L108+4665)*(10^(-4))/L101</f>
        <v>0.37620967741935485</v>
      </c>
      <c r="M109" s="2901">
        <f>(-0.214*(M108^2)-21.991*M108+4665)*(10^(-4))/M101</f>
        <v>0.37620967741935485</v>
      </c>
      <c r="N109" s="2901">
        <f>(-0.214*(N108^2)-21.991*N108+4665)*(10^(-4))/N101</f>
        <v>0.37620967741935485</v>
      </c>
    </row>
    <row r="110" spans="1:14">
      <c r="A110" s="3341" t="s">
        <v>2977</v>
      </c>
      <c r="B110" s="3341"/>
      <c r="C110" s="3341"/>
      <c r="D110" s="3341"/>
      <c r="E110" s="3341"/>
      <c r="F110" s="3341"/>
      <c r="G110" s="3341"/>
      <c r="H110" s="3341"/>
      <c r="I110" s="3341"/>
      <c r="J110" s="3341"/>
      <c r="K110" s="2904"/>
      <c r="L110" s="2904"/>
      <c r="M110" s="2904"/>
      <c r="N110" s="2904"/>
    </row>
    <row r="112" spans="1:14" ht="13.5" thickBot="1"/>
    <row r="113" spans="1:13" ht="25.5" thickBot="1">
      <c r="A113" s="901" t="s">
        <v>2978</v>
      </c>
      <c r="B113" s="1288">
        <f>G3</f>
        <v>1.24</v>
      </c>
      <c r="C113" s="902" t="s">
        <v>2979</v>
      </c>
      <c r="D113" s="903">
        <f>SUMPRODUCT((A115:A118=F113)*(B114:M114=H113)*B115:M118)</f>
        <v>0</v>
      </c>
      <c r="E113" s="2727" t="s">
        <v>2809</v>
      </c>
      <c r="F113" s="2906">
        <f>E2</f>
        <v>0</v>
      </c>
      <c r="G113" s="2727" t="s">
        <v>2810</v>
      </c>
      <c r="H113" s="2906">
        <f>G2</f>
        <v>0</v>
      </c>
      <c r="I113" s="2727"/>
      <c r="J113" s="2907"/>
      <c r="K113" s="2907"/>
      <c r="L113" s="2907"/>
      <c r="M113" s="2907"/>
    </row>
    <row r="114" spans="1:13">
      <c r="A114" s="906"/>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7" t="s">
        <v>2874</v>
      </c>
      <c r="B115" s="908">
        <f>ROUND(0.9335-0.0094*B113,4)</f>
        <v>0.92179999999999995</v>
      </c>
      <c r="C115" s="908">
        <f>B115</f>
        <v>0.92179999999999995</v>
      </c>
      <c r="D115" s="908">
        <f>ROUND(0.8331-0.0109*B113,4)</f>
        <v>0.8196</v>
      </c>
      <c r="E115" s="908">
        <f>D115</f>
        <v>0.8196</v>
      </c>
      <c r="F115" s="908">
        <f>E115</f>
        <v>0.8196</v>
      </c>
      <c r="G115" s="908">
        <f>F115</f>
        <v>0.8196</v>
      </c>
      <c r="H115" s="908">
        <f>G115</f>
        <v>0.8196</v>
      </c>
      <c r="I115" s="908">
        <f>ROUND(0.689-0.0155*B113,4)</f>
        <v>0.66979999999999995</v>
      </c>
      <c r="J115" s="908">
        <f t="shared" ref="J115:M118" si="33">I115</f>
        <v>0.66979999999999995</v>
      </c>
      <c r="K115" s="908">
        <f t="shared" si="33"/>
        <v>0.66979999999999995</v>
      </c>
      <c r="L115" s="908">
        <f t="shared" si="33"/>
        <v>0.66979999999999995</v>
      </c>
      <c r="M115" s="909">
        <f t="shared" si="33"/>
        <v>0.66979999999999995</v>
      </c>
    </row>
    <row r="116" spans="1:13">
      <c r="A116" s="907" t="s">
        <v>2875</v>
      </c>
      <c r="B116" s="908">
        <f>ROUND(0.949-0.012*B113,4)</f>
        <v>0.93410000000000004</v>
      </c>
      <c r="C116" s="908">
        <f>B116</f>
        <v>0.93410000000000004</v>
      </c>
      <c r="D116" s="908">
        <f>ROUND(0.8567-0.013*B113,4)</f>
        <v>0.84060000000000001</v>
      </c>
      <c r="E116" s="908">
        <f t="shared" ref="E116:H117" si="34">D116</f>
        <v>0.84060000000000001</v>
      </c>
      <c r="F116" s="908">
        <f t="shared" si="34"/>
        <v>0.84060000000000001</v>
      </c>
      <c r="G116" s="908">
        <f t="shared" si="34"/>
        <v>0.84060000000000001</v>
      </c>
      <c r="H116" s="908">
        <f t="shared" si="34"/>
        <v>0.84060000000000001</v>
      </c>
      <c r="I116" s="908">
        <f>ROUND(0.7694-0.014*B113,4)</f>
        <v>0.752</v>
      </c>
      <c r="J116" s="908">
        <f t="shared" si="33"/>
        <v>0.752</v>
      </c>
      <c r="K116" s="908">
        <f t="shared" si="33"/>
        <v>0.752</v>
      </c>
      <c r="L116" s="908">
        <f t="shared" si="33"/>
        <v>0.752</v>
      </c>
      <c r="M116" s="909">
        <f t="shared" si="33"/>
        <v>0.752</v>
      </c>
    </row>
    <row r="117" spans="1:13">
      <c r="A117" s="907" t="s">
        <v>2876</v>
      </c>
      <c r="B117" s="908">
        <f>ROUND(0.8808-0.006*B113,4)</f>
        <v>0.87339999999999995</v>
      </c>
      <c r="C117" s="908">
        <f>B117</f>
        <v>0.87339999999999995</v>
      </c>
      <c r="D117" s="908">
        <f>ROUND(0.8748-0.008*B113,4)</f>
        <v>0.8649</v>
      </c>
      <c r="E117" s="908">
        <f t="shared" si="34"/>
        <v>0.8649</v>
      </c>
      <c r="F117" s="908">
        <f t="shared" si="34"/>
        <v>0.8649</v>
      </c>
      <c r="G117" s="908">
        <f t="shared" si="34"/>
        <v>0.8649</v>
      </c>
      <c r="H117" s="908">
        <f t="shared" si="34"/>
        <v>0.8649</v>
      </c>
      <c r="I117" s="908">
        <f>ROUND(0.7412-0.0095*B113,4)</f>
        <v>0.72940000000000005</v>
      </c>
      <c r="J117" s="908">
        <f t="shared" si="33"/>
        <v>0.72940000000000005</v>
      </c>
      <c r="K117" s="908">
        <f t="shared" si="33"/>
        <v>0.72940000000000005</v>
      </c>
      <c r="L117" s="908">
        <f t="shared" si="33"/>
        <v>0.72940000000000005</v>
      </c>
      <c r="M117" s="909">
        <f t="shared" si="33"/>
        <v>0.72940000000000005</v>
      </c>
    </row>
    <row r="118" spans="1:13" ht="13.5" thickBot="1">
      <c r="A118" s="712" t="s">
        <v>2877</v>
      </c>
      <c r="B118" s="910">
        <f>ROUND(0.7275-0.01*B113,4)</f>
        <v>0.71509999999999996</v>
      </c>
      <c r="C118" s="910">
        <f>B118</f>
        <v>0.71509999999999996</v>
      </c>
      <c r="D118" s="910">
        <f>ROUND(0.7043-0.012*B113,4)</f>
        <v>0.68940000000000001</v>
      </c>
      <c r="E118" s="910">
        <f>D118</f>
        <v>0.68940000000000001</v>
      </c>
      <c r="F118" s="910">
        <f>E118</f>
        <v>0.68940000000000001</v>
      </c>
      <c r="G118" s="910">
        <f>ROUND(0.6299-0.0122*B113,4)</f>
        <v>0.61480000000000001</v>
      </c>
      <c r="H118" s="910">
        <f>G118</f>
        <v>0.61480000000000001</v>
      </c>
      <c r="I118" s="910">
        <f>ROUND(0.5667-0.0136*B113,4)</f>
        <v>0.54979999999999996</v>
      </c>
      <c r="J118" s="910">
        <f t="shared" si="33"/>
        <v>0.54979999999999996</v>
      </c>
      <c r="K118" s="910">
        <f t="shared" si="33"/>
        <v>0.54979999999999996</v>
      </c>
      <c r="L118" s="910">
        <f t="shared" si="33"/>
        <v>0.54979999999999996</v>
      </c>
      <c r="M118" s="911">
        <f t="shared" si="33"/>
        <v>0.54979999999999996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8" t="s">
        <v>183</v>
      </c>
      <c r="B18" s="880" t="s">
        <v>560</v>
      </c>
      <c r="C18" s="881" t="s">
        <v>561</v>
      </c>
      <c r="D18" s="882"/>
      <c r="E18" s="880">
        <v>1</v>
      </c>
      <c r="F18" s="883" t="s">
        <v>562</v>
      </c>
      <c r="G18" s="884"/>
      <c r="H18" s="876"/>
      <c r="I18" s="876"/>
    </row>
    <row r="19" spans="1:9" s="885" customFormat="1" ht="19.5" customHeight="1">
      <c r="A19" s="3358"/>
      <c r="B19" s="3358" t="s">
        <v>563</v>
      </c>
      <c r="C19" s="881" t="s">
        <v>564</v>
      </c>
      <c r="D19" s="882"/>
      <c r="E19" s="880">
        <v>0.9</v>
      </c>
      <c r="F19" s="883" t="s">
        <v>565</v>
      </c>
      <c r="G19" s="884"/>
      <c r="H19" s="876"/>
      <c r="I19" s="876"/>
    </row>
    <row r="20" spans="1:9" s="885" customFormat="1" ht="19.5" customHeight="1">
      <c r="A20" s="3358"/>
      <c r="B20" s="3358"/>
      <c r="C20" s="881" t="s">
        <v>566</v>
      </c>
      <c r="D20" s="882"/>
      <c r="E20" s="880">
        <v>1.1000000000000001</v>
      </c>
      <c r="F20" s="883" t="s">
        <v>567</v>
      </c>
      <c r="G20" s="884"/>
      <c r="H20" s="876"/>
      <c r="I20" s="876"/>
    </row>
    <row r="21" spans="1:9" s="885" customFormat="1" ht="19.5" customHeight="1">
      <c r="A21" s="3358"/>
      <c r="B21" s="3358"/>
      <c r="C21" s="881" t="s">
        <v>568</v>
      </c>
      <c r="D21" s="882"/>
      <c r="E21" s="880">
        <v>0.8</v>
      </c>
      <c r="F21" s="883" t="s">
        <v>569</v>
      </c>
      <c r="G21" s="884"/>
      <c r="H21" s="876"/>
      <c r="I21" s="876"/>
    </row>
    <row r="22" spans="1:9" s="885" customFormat="1" ht="19.5" customHeight="1">
      <c r="A22" s="3358"/>
      <c r="B22" s="3358"/>
      <c r="C22" s="881" t="s">
        <v>570</v>
      </c>
      <c r="D22" s="882"/>
      <c r="E22" s="880">
        <v>0.5</v>
      </c>
      <c r="F22" s="883"/>
      <c r="G22" s="884"/>
      <c r="H22" s="876"/>
      <c r="I22" s="876"/>
    </row>
    <row r="23" spans="1:9" s="885" customFormat="1" ht="19.5" customHeight="1">
      <c r="A23" s="3358" t="s">
        <v>184</v>
      </c>
      <c r="B23" s="880" t="s">
        <v>560</v>
      </c>
      <c r="C23" s="881" t="s">
        <v>571</v>
      </c>
      <c r="D23" s="882"/>
      <c r="E23" s="880">
        <v>1</v>
      </c>
      <c r="F23" s="883" t="s">
        <v>572</v>
      </c>
      <c r="G23" s="884"/>
      <c r="H23" s="876"/>
      <c r="I23" s="876"/>
    </row>
    <row r="24" spans="1:9" s="885" customFormat="1" ht="19.5" customHeight="1">
      <c r="A24" s="3358"/>
      <c r="B24" s="3358" t="s">
        <v>563</v>
      </c>
      <c r="C24" s="881" t="s">
        <v>573</v>
      </c>
      <c r="D24" s="882"/>
      <c r="E24" s="880">
        <v>0.5</v>
      </c>
      <c r="F24" s="883"/>
      <c r="G24" s="884"/>
      <c r="H24" s="876"/>
      <c r="I24" s="876"/>
    </row>
    <row r="25" spans="1:9" s="885" customFormat="1" ht="19.5" customHeight="1">
      <c r="A25" s="3358"/>
      <c r="B25" s="3358"/>
      <c r="C25" s="881" t="s">
        <v>574</v>
      </c>
      <c r="D25" s="882"/>
      <c r="E25" s="880">
        <v>1.1000000000000001</v>
      </c>
      <c r="F25" s="883"/>
      <c r="G25" s="884"/>
      <c r="H25" s="876"/>
      <c r="I25" s="876"/>
    </row>
    <row r="26" spans="1:9" s="885" customFormat="1" ht="19.5" customHeight="1">
      <c r="A26" s="3358"/>
      <c r="B26" s="3358"/>
      <c r="C26" s="881" t="s">
        <v>575</v>
      </c>
      <c r="D26" s="882"/>
      <c r="E26" s="880">
        <v>1.1000000000000001</v>
      </c>
      <c r="F26" s="883"/>
      <c r="G26" s="884"/>
      <c r="H26" s="876"/>
      <c r="I26" s="876"/>
    </row>
    <row r="27" spans="1:9" s="885" customFormat="1" ht="19.5" customHeight="1">
      <c r="A27" s="3358"/>
      <c r="B27" s="3358"/>
      <c r="C27" s="881" t="s">
        <v>576</v>
      </c>
      <c r="D27" s="882"/>
      <c r="E27" s="880">
        <v>0.9</v>
      </c>
      <c r="F27" s="883" t="s">
        <v>577</v>
      </c>
      <c r="G27" s="884"/>
      <c r="H27" s="876"/>
      <c r="I27" s="876"/>
    </row>
    <row r="28" spans="1:9" s="885" customFormat="1" ht="19.5" customHeight="1">
      <c r="A28" s="3358"/>
      <c r="B28" s="3358"/>
      <c r="C28" s="881" t="s">
        <v>578</v>
      </c>
      <c r="D28" s="882"/>
      <c r="E28" s="880">
        <v>0.9</v>
      </c>
      <c r="F28" s="883" t="s">
        <v>579</v>
      </c>
      <c r="G28" s="884"/>
      <c r="H28" s="876"/>
      <c r="I28" s="876"/>
    </row>
    <row r="29" spans="1:9" s="885" customFormat="1" ht="19.5" customHeight="1">
      <c r="A29" s="3358"/>
      <c r="B29" s="3358"/>
      <c r="C29" s="881" t="s">
        <v>580</v>
      </c>
      <c r="D29" s="882"/>
      <c r="E29" s="880">
        <v>0.9</v>
      </c>
      <c r="F29" s="883" t="s">
        <v>581</v>
      </c>
      <c r="G29" s="884"/>
      <c r="H29" s="876"/>
      <c r="I29" s="876"/>
    </row>
    <row r="30" spans="1:9" s="885" customFormat="1" ht="19.5" customHeight="1">
      <c r="A30" s="3358"/>
      <c r="B30" s="3358"/>
      <c r="C30" s="881" t="s">
        <v>582</v>
      </c>
      <c r="D30" s="882"/>
      <c r="E30" s="880">
        <v>0.9</v>
      </c>
      <c r="F30" s="883" t="s">
        <v>583</v>
      </c>
      <c r="G30" s="884"/>
      <c r="H30" s="876"/>
      <c r="I30" s="876"/>
    </row>
    <row r="31" spans="1:9" s="885" customFormat="1" ht="19.5" customHeight="1">
      <c r="A31" s="3358"/>
      <c r="B31" s="3358"/>
      <c r="C31" s="881" t="s">
        <v>584</v>
      </c>
      <c r="D31" s="882"/>
      <c r="E31" s="880">
        <v>0.8</v>
      </c>
      <c r="F31" s="883" t="s">
        <v>585</v>
      </c>
      <c r="G31" s="884"/>
      <c r="H31" s="876"/>
      <c r="I31" s="876"/>
    </row>
    <row r="32" spans="1:9" s="885" customFormat="1" ht="19.5" customHeight="1">
      <c r="A32" s="3358"/>
      <c r="B32" s="3358"/>
      <c r="C32" s="881" t="s">
        <v>586</v>
      </c>
      <c r="D32" s="882"/>
      <c r="E32" s="880">
        <v>0.8</v>
      </c>
      <c r="F32" s="883" t="s">
        <v>587</v>
      </c>
      <c r="G32" s="884"/>
      <c r="H32" s="876"/>
      <c r="I32" s="876"/>
    </row>
    <row r="33" spans="1:9" s="885" customFormat="1" ht="19.5" customHeight="1">
      <c r="A33" s="3358" t="s">
        <v>185</v>
      </c>
      <c r="B33" s="880" t="s">
        <v>560</v>
      </c>
      <c r="C33" s="881" t="s">
        <v>588</v>
      </c>
      <c r="D33" s="882"/>
      <c r="E33" s="880">
        <v>1</v>
      </c>
      <c r="F33" s="883" t="s">
        <v>589</v>
      </c>
      <c r="G33" s="884"/>
      <c r="H33" s="876"/>
      <c r="I33" s="876"/>
    </row>
    <row r="34" spans="1:9" s="885" customFormat="1" ht="19.5" customHeight="1">
      <c r="A34" s="3358"/>
      <c r="B34" s="880" t="s">
        <v>563</v>
      </c>
      <c r="C34" s="881" t="s">
        <v>590</v>
      </c>
      <c r="D34" s="882"/>
      <c r="E34" s="880">
        <v>1.5</v>
      </c>
      <c r="F34" s="883" t="s">
        <v>591</v>
      </c>
      <c r="G34" s="884"/>
      <c r="H34" s="876"/>
      <c r="I34" s="876"/>
    </row>
    <row r="35" spans="1:9" s="885" customFormat="1" ht="19.5" customHeight="1">
      <c r="A35" s="3358" t="s">
        <v>186</v>
      </c>
      <c r="B35" s="880" t="s">
        <v>560</v>
      </c>
      <c r="C35" s="881" t="s">
        <v>592</v>
      </c>
      <c r="D35" s="882"/>
      <c r="E35" s="880">
        <v>1</v>
      </c>
      <c r="F35" s="883" t="s">
        <v>593</v>
      </c>
      <c r="G35" s="884"/>
      <c r="H35" s="876"/>
      <c r="I35" s="876"/>
    </row>
    <row r="36" spans="1:9" s="885" customFormat="1" ht="19.5" customHeight="1">
      <c r="A36" s="3358"/>
      <c r="B36" s="3358" t="s">
        <v>563</v>
      </c>
      <c r="C36" s="881" t="s">
        <v>594</v>
      </c>
      <c r="D36" s="882"/>
      <c r="E36" s="880">
        <v>1</v>
      </c>
      <c r="F36" s="883" t="s">
        <v>595</v>
      </c>
      <c r="G36" s="884"/>
      <c r="H36" s="876"/>
      <c r="I36" s="876"/>
    </row>
    <row r="37" spans="1:9" s="885" customFormat="1" ht="19.5" customHeight="1">
      <c r="A37" s="3358"/>
      <c r="B37" s="3358"/>
      <c r="C37" s="881" t="s">
        <v>596</v>
      </c>
      <c r="D37" s="882"/>
      <c r="E37" s="880">
        <v>1.5</v>
      </c>
      <c r="F37" s="883" t="s">
        <v>597</v>
      </c>
      <c r="G37" s="884"/>
      <c r="H37" s="876"/>
      <c r="I37" s="876"/>
    </row>
    <row r="38" spans="1:9" s="885" customFormat="1" ht="19.5" customHeight="1">
      <c r="A38" s="3358"/>
      <c r="B38" s="3358"/>
      <c r="C38" s="881" t="s">
        <v>598</v>
      </c>
      <c r="D38" s="882"/>
      <c r="E38" s="880">
        <v>1</v>
      </c>
      <c r="F38" s="883" t="s">
        <v>599</v>
      </c>
      <c r="G38" s="884"/>
      <c r="H38" s="876"/>
      <c r="I38" s="876"/>
    </row>
    <row r="39" spans="1:9" s="885" customFormat="1" ht="19.5" customHeight="1">
      <c r="A39" s="3358"/>
      <c r="B39" s="335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8" t="s">
        <v>614</v>
      </c>
      <c r="C61" s="816" t="s">
        <v>615</v>
      </c>
      <c r="D61" s="816" t="s">
        <v>616</v>
      </c>
      <c r="E61" s="893">
        <v>0.5</v>
      </c>
      <c r="F61" s="880">
        <v>80</v>
      </c>
    </row>
    <row r="62" spans="1:8" s="876" customFormat="1" ht="24">
      <c r="A62" s="880">
        <v>2</v>
      </c>
      <c r="B62" s="3358"/>
      <c r="C62" s="816" t="s">
        <v>617</v>
      </c>
      <c r="D62" s="816" t="s">
        <v>618</v>
      </c>
      <c r="E62" s="893">
        <v>0.5</v>
      </c>
      <c r="F62" s="880">
        <v>80</v>
      </c>
    </row>
    <row r="63" spans="1:8" s="876" customFormat="1" ht="36">
      <c r="A63" s="880">
        <v>3</v>
      </c>
      <c r="B63" s="3358"/>
      <c r="C63" s="816" t="s">
        <v>619</v>
      </c>
      <c r="D63" s="816" t="s">
        <v>620</v>
      </c>
      <c r="E63" s="893">
        <v>0.5</v>
      </c>
      <c r="F63" s="880">
        <v>80</v>
      </c>
    </row>
    <row r="64" spans="1:8" s="876" customFormat="1" ht="36">
      <c r="A64" s="880">
        <v>4</v>
      </c>
      <c r="B64" s="3358"/>
      <c r="C64" s="816" t="s">
        <v>621</v>
      </c>
      <c r="D64" s="816" t="s">
        <v>622</v>
      </c>
      <c r="E64" s="893">
        <v>0.4</v>
      </c>
      <c r="F64" s="880">
        <v>60</v>
      </c>
    </row>
    <row r="65" spans="1:6" s="876" customFormat="1" ht="36">
      <c r="A65" s="880">
        <v>5</v>
      </c>
      <c r="B65" s="3358"/>
      <c r="C65" s="816" t="s">
        <v>623</v>
      </c>
      <c r="D65" s="816" t="s">
        <v>624</v>
      </c>
      <c r="E65" s="893">
        <v>0.2</v>
      </c>
      <c r="F65" s="880">
        <v>30</v>
      </c>
    </row>
    <row r="66" spans="1:6" s="876" customFormat="1" ht="36">
      <c r="A66" s="880">
        <v>6</v>
      </c>
      <c r="B66" s="3358"/>
      <c r="C66" s="816" t="s">
        <v>625</v>
      </c>
      <c r="D66" s="816" t="s">
        <v>626</v>
      </c>
      <c r="E66" s="893">
        <v>0.3</v>
      </c>
      <c r="F66" s="880">
        <v>50</v>
      </c>
    </row>
    <row r="67" spans="1:6" s="876" customFormat="1" ht="36">
      <c r="A67" s="880">
        <v>7</v>
      </c>
      <c r="B67" s="3358"/>
      <c r="C67" s="816" t="s">
        <v>627</v>
      </c>
      <c r="D67" s="816" t="s">
        <v>628</v>
      </c>
      <c r="E67" s="893">
        <v>0.2</v>
      </c>
      <c r="F67" s="880">
        <v>30</v>
      </c>
    </row>
    <row r="68" spans="1:6" s="876" customFormat="1" ht="36">
      <c r="A68" s="880">
        <v>8</v>
      </c>
      <c r="B68" s="3358"/>
      <c r="C68" s="816" t="s">
        <v>629</v>
      </c>
      <c r="D68" s="816" t="s">
        <v>630</v>
      </c>
      <c r="E68" s="893">
        <v>0.2</v>
      </c>
      <c r="F68" s="880">
        <v>30</v>
      </c>
    </row>
    <row r="69" spans="1:6" s="876" customFormat="1" ht="36">
      <c r="A69" s="880">
        <v>9</v>
      </c>
      <c r="B69" s="3358"/>
      <c r="C69" s="816" t="s">
        <v>631</v>
      </c>
      <c r="D69" s="816" t="s">
        <v>632</v>
      </c>
      <c r="E69" s="893">
        <v>0.2</v>
      </c>
      <c r="F69" s="880">
        <v>30</v>
      </c>
    </row>
    <row r="70" spans="1:6" s="876" customFormat="1" ht="48">
      <c r="A70" s="880">
        <v>10</v>
      </c>
      <c r="B70" s="3358"/>
      <c r="C70" s="816" t="s">
        <v>633</v>
      </c>
      <c r="D70" s="816" t="s">
        <v>634</v>
      </c>
      <c r="E70" s="893">
        <v>0.2</v>
      </c>
      <c r="F70" s="880">
        <v>30</v>
      </c>
    </row>
    <row r="71" spans="1:6" s="876" customFormat="1" ht="48">
      <c r="A71" s="880">
        <v>11</v>
      </c>
      <c r="B71" s="3358"/>
      <c r="C71" s="816" t="s">
        <v>635</v>
      </c>
      <c r="D71" s="816" t="s">
        <v>636</v>
      </c>
      <c r="E71" s="893">
        <v>0.2</v>
      </c>
      <c r="F71" s="880">
        <v>30</v>
      </c>
    </row>
    <row r="72" spans="1:6" s="876" customFormat="1" ht="36">
      <c r="A72" s="880">
        <v>12</v>
      </c>
      <c r="B72" s="3358"/>
      <c r="C72" s="816" t="s">
        <v>637</v>
      </c>
      <c r="D72" s="816" t="s">
        <v>638</v>
      </c>
      <c r="E72" s="893">
        <v>0.5</v>
      </c>
      <c r="F72" s="880">
        <v>80</v>
      </c>
    </row>
    <row r="73" spans="1:6" s="876" customFormat="1" ht="24">
      <c r="A73" s="880">
        <v>13</v>
      </c>
      <c r="B73" s="3358"/>
      <c r="C73" s="816" t="s">
        <v>639</v>
      </c>
      <c r="D73" s="816" t="s">
        <v>640</v>
      </c>
      <c r="E73" s="893">
        <v>0.4</v>
      </c>
      <c r="F73" s="880">
        <v>60</v>
      </c>
    </row>
    <row r="74" spans="1:6" s="876" customFormat="1" ht="24">
      <c r="A74" s="880">
        <v>14</v>
      </c>
      <c r="B74" s="3358"/>
      <c r="C74" s="816" t="s">
        <v>641</v>
      </c>
      <c r="D74" s="816" t="s">
        <v>642</v>
      </c>
      <c r="E74" s="893">
        <v>0.2</v>
      </c>
      <c r="F74" s="880">
        <v>30</v>
      </c>
    </row>
    <row r="75" spans="1:6" s="876" customFormat="1" ht="24">
      <c r="A75" s="880">
        <v>15</v>
      </c>
      <c r="B75" s="3358"/>
      <c r="C75" s="816" t="s">
        <v>643</v>
      </c>
      <c r="D75" s="816" t="s">
        <v>644</v>
      </c>
      <c r="E75" s="893">
        <v>0.2</v>
      </c>
      <c r="F75" s="880">
        <v>30</v>
      </c>
    </row>
    <row r="76" spans="1:6" s="876" customFormat="1" ht="24">
      <c r="A76" s="880">
        <v>16</v>
      </c>
      <c r="B76" s="3358" t="s">
        <v>645</v>
      </c>
      <c r="C76" s="816" t="s">
        <v>646</v>
      </c>
      <c r="D76" s="816" t="s">
        <v>647</v>
      </c>
      <c r="E76" s="893">
        <v>0.5</v>
      </c>
      <c r="F76" s="880">
        <v>80</v>
      </c>
    </row>
    <row r="77" spans="1:6" s="876" customFormat="1" ht="24">
      <c r="A77" s="880">
        <v>17</v>
      </c>
      <c r="B77" s="3358"/>
      <c r="C77" s="816" t="s">
        <v>648</v>
      </c>
      <c r="D77" s="816" t="s">
        <v>649</v>
      </c>
      <c r="E77" s="893">
        <v>0.5</v>
      </c>
      <c r="F77" s="880">
        <v>80</v>
      </c>
    </row>
    <row r="78" spans="1:6" s="876" customFormat="1" ht="24">
      <c r="A78" s="880">
        <v>18</v>
      </c>
      <c r="B78" s="3358"/>
      <c r="C78" s="816" t="s">
        <v>650</v>
      </c>
      <c r="D78" s="816" t="s">
        <v>651</v>
      </c>
      <c r="E78" s="893">
        <v>0.2</v>
      </c>
      <c r="F78" s="880">
        <v>30</v>
      </c>
    </row>
    <row r="79" spans="1:6" s="876" customFormat="1" ht="24">
      <c r="A79" s="880">
        <v>19</v>
      </c>
      <c r="B79" s="3358"/>
      <c r="C79" s="816" t="s">
        <v>652</v>
      </c>
      <c r="D79" s="816" t="s">
        <v>653</v>
      </c>
      <c r="E79" s="893">
        <v>0.5</v>
      </c>
      <c r="F79" s="880">
        <v>80</v>
      </c>
    </row>
    <row r="80" spans="1:6" s="876" customFormat="1" ht="36">
      <c r="A80" s="880">
        <v>20</v>
      </c>
      <c r="B80" s="3358"/>
      <c r="C80" s="816" t="s">
        <v>654</v>
      </c>
      <c r="D80" s="816" t="s">
        <v>655</v>
      </c>
      <c r="E80" s="893">
        <v>0.2</v>
      </c>
      <c r="F80" s="880">
        <v>30</v>
      </c>
    </row>
    <row r="81" spans="1:6" s="876" customFormat="1" ht="36">
      <c r="A81" s="880">
        <v>21</v>
      </c>
      <c r="B81" s="3358"/>
      <c r="C81" s="816" t="s">
        <v>656</v>
      </c>
      <c r="D81" s="816" t="s">
        <v>657</v>
      </c>
      <c r="E81" s="893">
        <v>0.2</v>
      </c>
      <c r="F81" s="880">
        <v>30</v>
      </c>
    </row>
    <row r="82" spans="1:6" s="876" customFormat="1" ht="48">
      <c r="A82" s="880">
        <v>22</v>
      </c>
      <c r="B82" s="3358"/>
      <c r="C82" s="816" t="s">
        <v>658</v>
      </c>
      <c r="D82" s="816" t="s">
        <v>659</v>
      </c>
      <c r="E82" s="893">
        <v>0.2</v>
      </c>
      <c r="F82" s="880">
        <v>30</v>
      </c>
    </row>
    <row r="83" spans="1:6" s="876" customFormat="1" ht="48">
      <c r="A83" s="880">
        <v>23</v>
      </c>
      <c r="B83" s="3358"/>
      <c r="C83" s="816" t="s">
        <v>660</v>
      </c>
      <c r="D83" s="816" t="s">
        <v>661</v>
      </c>
      <c r="E83" s="893">
        <v>0.2</v>
      </c>
      <c r="F83" s="880">
        <v>30</v>
      </c>
    </row>
    <row r="84" spans="1:6" s="876" customFormat="1" ht="36">
      <c r="A84" s="880">
        <v>24</v>
      </c>
      <c r="B84" s="3358"/>
      <c r="C84" s="816" t="s">
        <v>662</v>
      </c>
      <c r="D84" s="816" t="s">
        <v>663</v>
      </c>
      <c r="E84" s="893">
        <v>0.2</v>
      </c>
      <c r="F84" s="880">
        <v>30</v>
      </c>
    </row>
    <row r="85" spans="1:6" s="876" customFormat="1" ht="36">
      <c r="A85" s="880">
        <v>25</v>
      </c>
      <c r="B85" s="3358"/>
      <c r="C85" s="816" t="s">
        <v>664</v>
      </c>
      <c r="D85" s="816" t="s">
        <v>665</v>
      </c>
      <c r="E85" s="893">
        <v>0.5</v>
      </c>
      <c r="F85" s="880">
        <v>80</v>
      </c>
    </row>
    <row r="86" spans="1:6" s="876" customFormat="1" ht="36">
      <c r="A86" s="880">
        <v>26</v>
      </c>
      <c r="B86" s="3358"/>
      <c r="C86" s="816" t="s">
        <v>666</v>
      </c>
      <c r="D86" s="816" t="s">
        <v>667</v>
      </c>
      <c r="E86" s="893">
        <v>0.2</v>
      </c>
      <c r="F86" s="880">
        <v>30</v>
      </c>
    </row>
    <row r="87" spans="1:6" s="876" customFormat="1" ht="36">
      <c r="A87" s="880">
        <v>27</v>
      </c>
      <c r="B87" s="3358"/>
      <c r="C87" s="816" t="s">
        <v>668</v>
      </c>
      <c r="D87" s="816" t="s">
        <v>669</v>
      </c>
      <c r="E87" s="893">
        <v>0.2</v>
      </c>
      <c r="F87" s="880">
        <v>30</v>
      </c>
    </row>
    <row r="88" spans="1:6" s="876" customFormat="1" ht="36">
      <c r="A88" s="880">
        <v>28</v>
      </c>
      <c r="B88" s="3358"/>
      <c r="C88" s="816" t="s">
        <v>670</v>
      </c>
      <c r="D88" s="816" t="s">
        <v>671</v>
      </c>
      <c r="E88" s="893">
        <v>0.2</v>
      </c>
      <c r="F88" s="880">
        <v>30</v>
      </c>
    </row>
    <row r="89" spans="1:6" s="876" customFormat="1" ht="24">
      <c r="A89" s="880">
        <v>29</v>
      </c>
      <c r="B89" s="3358"/>
      <c r="C89" s="816" t="s">
        <v>672</v>
      </c>
      <c r="D89" s="816" t="s">
        <v>673</v>
      </c>
      <c r="E89" s="893">
        <v>0.2</v>
      </c>
      <c r="F89" s="880">
        <v>30</v>
      </c>
    </row>
    <row r="90" spans="1:6" s="876" customFormat="1" ht="24">
      <c r="A90" s="880">
        <v>30</v>
      </c>
      <c r="B90" s="3358"/>
      <c r="C90" s="816" t="s">
        <v>674</v>
      </c>
      <c r="D90" s="816" t="s">
        <v>675</v>
      </c>
      <c r="E90" s="893">
        <v>0.2</v>
      </c>
      <c r="F90" s="880">
        <v>30</v>
      </c>
    </row>
    <row r="91" spans="1:6" s="876" customFormat="1" ht="36">
      <c r="A91" s="880">
        <v>31</v>
      </c>
      <c r="B91" s="3358"/>
      <c r="C91" s="816" t="s">
        <v>676</v>
      </c>
      <c r="D91" s="816" t="s">
        <v>677</v>
      </c>
      <c r="E91" s="893">
        <v>0.2</v>
      </c>
      <c r="F91" s="880">
        <v>30</v>
      </c>
    </row>
    <row r="92" spans="1:6" s="876" customFormat="1" ht="24">
      <c r="A92" s="880">
        <v>32</v>
      </c>
      <c r="B92" s="3358" t="s">
        <v>678</v>
      </c>
      <c r="C92" s="880" t="s">
        <v>679</v>
      </c>
      <c r="D92" s="816" t="s">
        <v>680</v>
      </c>
      <c r="E92" s="893">
        <v>0.2</v>
      </c>
      <c r="F92" s="880">
        <v>30</v>
      </c>
    </row>
    <row r="93" spans="1:6" s="876" customFormat="1" ht="36">
      <c r="A93" s="880">
        <v>33</v>
      </c>
      <c r="B93" s="3358"/>
      <c r="C93" s="880" t="s">
        <v>681</v>
      </c>
      <c r="D93" s="816" t="s">
        <v>682</v>
      </c>
      <c r="E93" s="893">
        <v>0.2</v>
      </c>
      <c r="F93" s="880">
        <v>30</v>
      </c>
    </row>
    <row r="94" spans="1:6" s="876" customFormat="1" ht="48">
      <c r="A94" s="880">
        <v>34</v>
      </c>
      <c r="B94" s="3358"/>
      <c r="C94" s="880" t="s">
        <v>683</v>
      </c>
      <c r="D94" s="816" t="s">
        <v>684</v>
      </c>
      <c r="E94" s="893">
        <v>0.2</v>
      </c>
      <c r="F94" s="880">
        <v>30</v>
      </c>
    </row>
    <row r="95" spans="1:6" s="876" customFormat="1" ht="36">
      <c r="A95" s="880">
        <v>35</v>
      </c>
      <c r="B95" s="3358"/>
      <c r="C95" s="880" t="s">
        <v>685</v>
      </c>
      <c r="D95" s="816" t="s">
        <v>686</v>
      </c>
      <c r="E95" s="893">
        <v>0.2</v>
      </c>
      <c r="F95" s="880">
        <v>30</v>
      </c>
    </row>
    <row r="96" spans="1:6" s="876" customFormat="1" ht="48">
      <c r="A96" s="880">
        <v>36</v>
      </c>
      <c r="B96" s="3358"/>
      <c r="C96" s="816" t="s">
        <v>687</v>
      </c>
      <c r="D96" s="816" t="s">
        <v>688</v>
      </c>
      <c r="E96" s="893">
        <v>0.2</v>
      </c>
      <c r="F96" s="880">
        <v>30</v>
      </c>
    </row>
    <row r="97" spans="1:6" s="876" customFormat="1" ht="36">
      <c r="A97" s="880">
        <v>37</v>
      </c>
      <c r="B97" s="3358"/>
      <c r="C97" s="880" t="s">
        <v>689</v>
      </c>
      <c r="D97" s="816" t="s">
        <v>690</v>
      </c>
      <c r="E97" s="893">
        <v>0.2</v>
      </c>
      <c r="F97" s="880">
        <v>30</v>
      </c>
    </row>
    <row r="98" spans="1:6" s="876" customFormat="1" ht="36">
      <c r="A98" s="880">
        <v>38</v>
      </c>
      <c r="B98" s="3358"/>
      <c r="C98" s="880" t="s">
        <v>691</v>
      </c>
      <c r="D98" s="816" t="s">
        <v>692</v>
      </c>
      <c r="E98" s="893">
        <v>0.2</v>
      </c>
      <c r="F98" s="880">
        <v>30</v>
      </c>
    </row>
    <row r="99" spans="1:6" s="876" customFormat="1" ht="36">
      <c r="A99" s="880">
        <v>39</v>
      </c>
      <c r="B99" s="3358" t="s">
        <v>693</v>
      </c>
      <c r="C99" s="880" t="s">
        <v>694</v>
      </c>
      <c r="D99" s="816" t="s">
        <v>695</v>
      </c>
      <c r="E99" s="893">
        <v>0.3</v>
      </c>
      <c r="F99" s="880">
        <v>50</v>
      </c>
    </row>
    <row r="100" spans="1:6" s="876" customFormat="1" ht="24">
      <c r="A100" s="880">
        <v>40</v>
      </c>
      <c r="B100" s="3358"/>
      <c r="C100" s="880" t="s">
        <v>696</v>
      </c>
      <c r="D100" s="816" t="s">
        <v>697</v>
      </c>
      <c r="E100" s="893">
        <v>0.2</v>
      </c>
      <c r="F100" s="880">
        <v>30</v>
      </c>
    </row>
    <row r="101" spans="1:6" s="876" customFormat="1" ht="36">
      <c r="A101" s="880">
        <v>41</v>
      </c>
      <c r="B101" s="335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8" t="s">
        <v>708</v>
      </c>
      <c r="C105" s="880" t="s">
        <v>709</v>
      </c>
      <c r="D105" s="816" t="s">
        <v>710</v>
      </c>
      <c r="E105" s="893">
        <v>0.2</v>
      </c>
      <c r="F105" s="880">
        <v>30</v>
      </c>
    </row>
    <row r="106" spans="1:6" s="876" customFormat="1" ht="36">
      <c r="A106" s="880">
        <v>46</v>
      </c>
      <c r="B106" s="3358"/>
      <c r="C106" s="880" t="s">
        <v>711</v>
      </c>
      <c r="D106" s="816" t="s">
        <v>712</v>
      </c>
      <c r="E106" s="893">
        <v>0.2</v>
      </c>
      <c r="F106" s="880">
        <v>30</v>
      </c>
    </row>
    <row r="107" spans="1:6" s="876" customFormat="1" ht="36">
      <c r="A107" s="880">
        <v>47</v>
      </c>
      <c r="B107" s="3358" t="s">
        <v>713</v>
      </c>
      <c r="C107" s="880" t="s">
        <v>714</v>
      </c>
      <c r="D107" s="816" t="s">
        <v>715</v>
      </c>
      <c r="E107" s="893">
        <v>0.3</v>
      </c>
      <c r="F107" s="880">
        <v>50</v>
      </c>
    </row>
    <row r="108" spans="1:6" s="876" customFormat="1" ht="36">
      <c r="A108" s="880">
        <v>48</v>
      </c>
      <c r="B108" s="335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8" t="s">
        <v>724</v>
      </c>
      <c r="C111" s="880" t="s">
        <v>725</v>
      </c>
      <c r="D111" s="816" t="s">
        <v>726</v>
      </c>
      <c r="E111" s="893">
        <v>0.2</v>
      </c>
      <c r="F111" s="880">
        <v>30</v>
      </c>
    </row>
    <row r="112" spans="1:6" s="876" customFormat="1" ht="24">
      <c r="A112" s="880">
        <v>52</v>
      </c>
      <c r="B112" s="3358"/>
      <c r="C112" s="880" t="s">
        <v>727</v>
      </c>
      <c r="D112" s="816" t="s">
        <v>728</v>
      </c>
      <c r="E112" s="893">
        <v>0.2</v>
      </c>
      <c r="F112" s="880">
        <v>30</v>
      </c>
    </row>
    <row r="113" spans="1:6" s="876" customFormat="1" ht="24">
      <c r="A113" s="880">
        <v>53</v>
      </c>
      <c r="B113" s="335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8" t="s">
        <v>737</v>
      </c>
      <c r="C116" s="880" t="s">
        <v>738</v>
      </c>
      <c r="D116" s="816" t="s">
        <v>739</v>
      </c>
      <c r="E116" s="893">
        <v>0.2</v>
      </c>
      <c r="F116" s="880">
        <v>30</v>
      </c>
    </row>
    <row r="117" spans="1:6" ht="36">
      <c r="A117" s="880">
        <v>57</v>
      </c>
      <c r="B117" s="335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3000</v>
      </c>
    </row>
    <row r="2" spans="1:5" ht="15.75">
      <c r="A2" s="2913" t="s">
        <v>2992</v>
      </c>
      <c r="B2" s="2914" t="e">
        <f ca="1">SUMIF(B6:B13,"&lt;&gt;#ref!",B6:B13)</f>
        <v>#DIV/0!</v>
      </c>
      <c r="C2" s="2913" t="s">
        <v>2993</v>
      </c>
      <c r="D2" s="2913" t="s">
        <v>2994</v>
      </c>
      <c r="E2" s="2914">
        <f ca="1">SUMIF(E6:E13,"&lt;&gt;#ref!",E6:E13)</f>
        <v>0</v>
      </c>
    </row>
    <row r="3" spans="1:5" ht="15.75">
      <c r="A3" s="2913" t="s">
        <v>2995</v>
      </c>
      <c r="B3" s="2914" t="e">
        <f ca="1">ROUND(B2*10000/E2,0)</f>
        <v>#DIV/0!</v>
      </c>
      <c r="C3" s="2913" t="s">
        <v>3001</v>
      </c>
      <c r="D3" s="2915"/>
      <c r="E3" s="2915"/>
    </row>
    <row r="4" spans="1:5" ht="15.75">
      <c r="A4" s="2916"/>
      <c r="B4" s="2915"/>
      <c r="C4" s="2915"/>
      <c r="D4" s="2915"/>
      <c r="E4" s="2915"/>
    </row>
    <row r="5" spans="1:5" ht="28.5">
      <c r="A5" s="2917" t="s">
        <v>2996</v>
      </c>
      <c r="B5" s="2913" t="s">
        <v>2997</v>
      </c>
      <c r="C5" s="2914"/>
      <c r="D5" s="2915"/>
      <c r="E5" s="2913" t="s">
        <v>2998</v>
      </c>
    </row>
    <row r="6" spans="1:5" ht="15.75">
      <c r="A6" s="2918" t="s">
        <v>2999</v>
      </c>
      <c r="B6" s="2914" t="e">
        <f ca="1">SUMIF(INDIRECT("'"&amp;A6&amp;"'"&amp;"!A:A"),"总价",INDIRECT("'"&amp;A6&amp;"'"&amp;"!B:B"))</f>
        <v>#DIV/0!</v>
      </c>
      <c r="C6" s="2913" t="s">
        <v>2993</v>
      </c>
      <c r="D6" s="2915"/>
      <c r="E6" s="2578">
        <f ca="1">SUMIF(INDIRECT("'"&amp;A6&amp;"'"&amp;"!C:C"),"建筑面积",INDIRECT("'"&amp;A6&amp;"'"&amp;"!D:D"))</f>
        <v>0</v>
      </c>
    </row>
    <row r="7" spans="1:5" ht="15.75">
      <c r="A7" s="2918"/>
      <c r="B7" s="2914" t="e">
        <f ca="1">SUMIF(INDIRECT("'"&amp;A7&amp;"'"&amp;"!A:A"),"总价",INDIRECT("'"&amp;A7&amp;"'"&amp;"!B:B"))</f>
        <v>#REF!</v>
      </c>
      <c r="C7" s="2913" t="s">
        <v>2993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2993</v>
      </c>
      <c r="D8" s="2915"/>
      <c r="E8" s="2578" t="e">
        <f t="shared" ca="1" si="0"/>
        <v>#REF!</v>
      </c>
    </row>
    <row r="9" spans="1:5" ht="15.75">
      <c r="A9" s="2918"/>
      <c r="B9" s="2914" t="e">
        <f t="shared" ca="1" si="1"/>
        <v>#REF!</v>
      </c>
      <c r="C9" s="2913" t="s">
        <v>2993</v>
      </c>
      <c r="D9" s="2915"/>
      <c r="E9" s="2578" t="e">
        <f t="shared" ca="1" si="0"/>
        <v>#REF!</v>
      </c>
    </row>
    <row r="10" spans="1:5" ht="15.75">
      <c r="A10" s="2918"/>
      <c r="B10" s="2914" t="e">
        <f t="shared" ca="1" si="1"/>
        <v>#REF!</v>
      </c>
      <c r="C10" s="2913" t="s">
        <v>2993</v>
      </c>
      <c r="D10" s="2915"/>
      <c r="E10" s="2578" t="e">
        <f t="shared" ca="1" si="0"/>
        <v>#REF!</v>
      </c>
    </row>
    <row r="11" spans="1:5" ht="15.75">
      <c r="A11" s="2918"/>
      <c r="B11" s="2914" t="e">
        <f t="shared" ca="1" si="1"/>
        <v>#REF!</v>
      </c>
      <c r="C11" s="2913" t="s">
        <v>2993</v>
      </c>
      <c r="D11" s="2915"/>
      <c r="E11" s="2578" t="e">
        <f t="shared" ca="1" si="0"/>
        <v>#REF!</v>
      </c>
    </row>
    <row r="12" spans="1:5" ht="15.75">
      <c r="A12" s="2918"/>
      <c r="B12" s="2914" t="e">
        <f t="shared" ca="1" si="1"/>
        <v>#REF!</v>
      </c>
      <c r="C12" s="2913" t="s">
        <v>2993</v>
      </c>
      <c r="D12" s="2915"/>
      <c r="E12" s="2578" t="e">
        <f t="shared" ca="1" si="0"/>
        <v>#REF!</v>
      </c>
    </row>
    <row r="13" spans="1:5" ht="15.75">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64" t="s">
        <v>1150</v>
      </c>
      <c r="C1" s="3364"/>
      <c r="D1" s="3364"/>
      <c r="E1" s="3364"/>
      <c r="F1" s="3364"/>
      <c r="G1" s="3360" t="s">
        <v>1151</v>
      </c>
      <c r="H1" s="3360"/>
      <c r="I1" s="3360"/>
      <c r="J1" s="3360"/>
      <c r="K1" s="3360"/>
      <c r="L1" s="3360"/>
      <c r="N1" s="3360" t="s">
        <v>1152</v>
      </c>
      <c r="O1" s="3360"/>
      <c r="P1" s="3360"/>
      <c r="Q1" s="3360"/>
      <c r="R1" s="1447"/>
      <c r="S1" s="3360" t="s">
        <v>1153</v>
      </c>
      <c r="T1" s="3360"/>
      <c r="U1" s="3360"/>
      <c r="V1" s="3360"/>
      <c r="X1" s="3359" t="s">
        <v>1154</v>
      </c>
      <c r="Y1" s="3360"/>
      <c r="Z1" s="3360"/>
      <c r="AA1" s="3360"/>
      <c r="AB1" s="3360"/>
      <c r="AD1" s="3359" t="s">
        <v>1155</v>
      </c>
      <c r="AE1" s="3360"/>
      <c r="AF1" s="3360"/>
      <c r="AG1" s="3360"/>
      <c r="AH1" s="3360"/>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3033</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2</v>
      </c>
      <c r="I5" s="2927">
        <v>0</v>
      </c>
      <c r="J5" s="2927">
        <v>0</v>
      </c>
      <c r="K5" s="2927">
        <v>0</v>
      </c>
      <c r="L5" s="2927">
        <v>0</v>
      </c>
      <c r="N5" s="1468">
        <f t="shared" ref="N5" si="7">I5/100</f>
        <v>0</v>
      </c>
      <c r="O5" s="1468">
        <f t="shared" ref="O5" si="8">J5/100</f>
        <v>0</v>
      </c>
      <c r="P5" s="1468">
        <f t="shared" ref="P5" si="9">K5/100</f>
        <v>0</v>
      </c>
      <c r="Q5" s="1468">
        <f t="shared" ref="Q5" si="10">L5/100</f>
        <v>0</v>
      </c>
      <c r="R5" s="1733"/>
      <c r="S5" s="1734"/>
      <c r="T5" s="1733"/>
      <c r="U5" s="1733"/>
      <c r="V5" s="1733"/>
      <c r="W5" s="2931" t="s">
        <v>3034</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3032</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3">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3029</v>
      </c>
      <c r="B7" s="1470">
        <v>439</v>
      </c>
      <c r="C7" s="1470">
        <v>327</v>
      </c>
      <c r="D7" s="1470">
        <f>C7</f>
        <v>327</v>
      </c>
      <c r="E7" s="1470">
        <v>627</v>
      </c>
      <c r="F7" s="1471">
        <v>283</v>
      </c>
      <c r="G7" s="2929">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3030</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5"/>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4"/>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5"/>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65">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62"/>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62"/>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63"/>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61">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62"/>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62"/>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63"/>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61">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62"/>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62"/>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63"/>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66">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67"/>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67"/>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68"/>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61">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62"/>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62"/>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63"/>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61">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62">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62">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63">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61">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62">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62">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63">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61">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62">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62">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63">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61">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62">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62">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63">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61">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62">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62">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63">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61">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62">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62">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63">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61">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62">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62">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63">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61">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62">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62">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63">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61">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62">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62">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63">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61">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62">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62">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63">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30537</v>
      </c>
      <c r="C2" s="2" t="s">
        <v>133</v>
      </c>
      <c r="D2" s="243"/>
      <c r="E2" s="243"/>
      <c r="F2" s="243"/>
      <c r="G2" s="243"/>
    </row>
    <row r="3" spans="1:7" s="244" customFormat="1" ht="18" customHeight="1" thickBot="1">
      <c r="A3" s="247" t="s">
        <v>85</v>
      </c>
      <c r="B3" s="248">
        <f ca="1">ROUND(B2*10000/'数据-汇总表'!E3,0)</f>
        <v>122315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50</v>
      </c>
      <c r="D10" s="1033">
        <f>'数据-汇总表'!E6</f>
        <v>2496.59</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50</v>
      </c>
      <c r="D19" s="1037">
        <f>'数据-汇总表'!E3</f>
        <v>2496.59</v>
      </c>
      <c r="E19" s="255">
        <f>'数据-取费表'!B31</f>
        <v>200</v>
      </c>
      <c r="F19" s="275"/>
      <c r="G19" s="1" t="s">
        <v>1074</v>
      </c>
    </row>
    <row r="20" spans="1:7" s="258" customFormat="1" ht="13.5" customHeight="1">
      <c r="A20" s="949" t="s">
        <v>1057</v>
      </c>
      <c r="B20" s="254" t="s">
        <v>104</v>
      </c>
      <c r="C20" s="276">
        <f>ROUND((C5+C19)*F20,0)</f>
        <v>413</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1058</v>
      </c>
      <c r="C25" s="1356">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5268</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5268</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885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799</v>
      </c>
      <c r="D34" s="261"/>
      <c r="E34" s="264"/>
      <c r="F34" s="301">
        <f>IF('数据-取费表'!B24=0,1,'数据-取费表'!N16)</f>
        <v>1</v>
      </c>
      <c r="G34" s="263" t="s">
        <v>116</v>
      </c>
    </row>
    <row r="35" spans="1:7" ht="13.5" customHeight="1">
      <c r="A35" s="952" t="s">
        <v>796</v>
      </c>
      <c r="B35" s="259" t="s">
        <v>60</v>
      </c>
      <c r="C35" s="264">
        <f>ROUND(C34*F35,0)</f>
        <v>24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50</v>
      </c>
      <c r="D37" s="261">
        <f>'数据-汇总表'!E3</f>
        <v>2496.59</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18</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19</v>
      </c>
      <c r="D41" s="279">
        <f ca="1">C44</f>
        <v>4.0000000000000002E-4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19</v>
      </c>
      <c r="D42" s="282"/>
      <c r="E42" s="282"/>
      <c r="F42" s="283"/>
      <c r="G42" s="3235" t="s">
        <v>121</v>
      </c>
    </row>
    <row r="43" spans="1:7" ht="13.5" customHeight="1">
      <c r="A43" s="952" t="s">
        <v>792</v>
      </c>
      <c r="B43" s="259" t="s">
        <v>1064</v>
      </c>
      <c r="C43" s="282">
        <f ca="1">ROUND(IF('数据-取费表'!B22&lt;=1,C39*F22*'数据-取费表'!B21/2,C39*(POWER((1+F22),'数据-取费表'!B21/2)-1)),0)</f>
        <v>0</v>
      </c>
      <c r="D43" s="282"/>
      <c r="E43" s="282"/>
      <c r="F43" s="283"/>
      <c r="G43" s="3236"/>
    </row>
    <row r="44" spans="1:7" ht="13.5" customHeight="1">
      <c r="A44" s="952" t="s">
        <v>793</v>
      </c>
      <c r="B44" s="259" t="s">
        <v>1066</v>
      </c>
      <c r="C44" s="282">
        <f ca="1">ROUND(IF('数据-取费表'!B22&lt;=1,C40*F22*'数据-取费表'!B21/2,C40*(POWER((1+F22),'数据-取费表'!B21/2)-1)),4)</f>
        <v>4.0000000000000002E-4</v>
      </c>
      <c r="D44" s="282"/>
      <c r="E44" s="282"/>
      <c r="F44" s="283"/>
      <c r="G44" s="3237"/>
    </row>
    <row r="45" spans="1:7" s="258" customFormat="1" ht="13.5" customHeight="1">
      <c r="A45" s="949" t="s">
        <v>786</v>
      </c>
      <c r="B45" s="288" t="s">
        <v>112</v>
      </c>
      <c r="C45" s="289">
        <f>C46</f>
        <v>226</v>
      </c>
      <c r="D45" s="279">
        <f>C47</f>
        <v>5.0000000000000001E-3</v>
      </c>
      <c r="E45" s="280" t="s">
        <v>129</v>
      </c>
      <c r="F45" s="290"/>
      <c r="G45" s="291" t="s">
        <v>1072</v>
      </c>
    </row>
    <row r="46" spans="1:7" s="258" customFormat="1" ht="13.5" customHeight="1">
      <c r="A46" s="952" t="s">
        <v>794</v>
      </c>
      <c r="B46" s="292" t="s">
        <v>1065</v>
      </c>
      <c r="C46" s="293">
        <f>ROUND((C33+C39)*F27,0)</f>
        <v>226</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1246</v>
      </c>
      <c r="D49" s="276"/>
      <c r="E49" s="276"/>
      <c r="F49" s="308"/>
      <c r="G49" s="278" t="s">
        <v>1073</v>
      </c>
    </row>
    <row r="50" spans="1:7" s="302" customFormat="1" ht="24">
      <c r="A50" s="949" t="s">
        <v>789</v>
      </c>
      <c r="B50" s="254" t="s">
        <v>124</v>
      </c>
      <c r="C50" s="276"/>
      <c r="D50" s="276"/>
      <c r="E50" s="276"/>
      <c r="F50" s="308">
        <f>IF('数据-取费表'!B24=0,'数据-取费表'!N16,1)</f>
        <v>0.77</v>
      </c>
      <c r="G50" s="291" t="s">
        <v>125</v>
      </c>
    </row>
    <row r="51" spans="1:7" ht="16.5" customHeight="1">
      <c r="A51" s="949" t="s">
        <v>790</v>
      </c>
      <c r="B51" s="254" t="s">
        <v>132</v>
      </c>
      <c r="C51" s="276">
        <f ca="1">ROUND(C49*F50,0)</f>
        <v>959</v>
      </c>
      <c r="D51" s="276"/>
      <c r="E51" s="276"/>
      <c r="F51" s="308"/>
      <c r="G51" s="278" t="s">
        <v>64</v>
      </c>
    </row>
    <row r="52" spans="1:7" s="252" customFormat="1" ht="16.5" thickBot="1">
      <c r="A52" s="309" t="s">
        <v>65</v>
      </c>
      <c r="B52" s="310"/>
      <c r="C52" s="311">
        <f ca="1">C31+C51</f>
        <v>30537</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69" t="s">
        <v>156</v>
      </c>
      <c r="B1" s="3369"/>
      <c r="C1" s="3369"/>
      <c r="D1" s="3369"/>
      <c r="E1" s="3369"/>
      <c r="F1" s="33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0" t="s">
        <v>169</v>
      </c>
      <c r="B2" s="3370"/>
      <c r="C2" s="3370"/>
      <c r="D2" s="3370"/>
      <c r="E2" s="3370"/>
      <c r="F2" s="33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62"/>
      <c r="B4" s="3053" t="s">
        <v>1629</v>
      </c>
      <c r="C4" s="3053"/>
      <c r="D4" s="3053"/>
      <c r="E4" s="1962"/>
    </row>
    <row r="5" spans="1:5" ht="16.5" thickTop="1">
      <c r="A5" s="1960"/>
      <c r="B5" s="3051" t="s">
        <v>1621</v>
      </c>
      <c r="C5" s="1963" t="s">
        <v>1622</v>
      </c>
      <c r="D5" s="1041">
        <f ca="1">结果表!H101</f>
        <v>6406</v>
      </c>
      <c r="E5" s="1960"/>
    </row>
    <row r="6" spans="1:5" ht="15.75">
      <c r="A6" s="1960"/>
      <c r="B6" s="3051"/>
      <c r="C6" s="1963" t="s">
        <v>1623</v>
      </c>
      <c r="D6" s="1041" t="str">
        <f ca="1">NUMBERSTRING(INT(D5*10000),2)&amp;"元整"</f>
        <v>陆仟肆佰零陆万元整</v>
      </c>
      <c r="E6" s="1960"/>
    </row>
    <row r="7" spans="1:5" ht="15.75">
      <c r="A7" s="1960"/>
      <c r="B7" s="3056"/>
      <c r="C7" s="1964" t="s">
        <v>1624</v>
      </c>
      <c r="D7" s="1042">
        <f ca="1">结果表!H102</f>
        <v>25659</v>
      </c>
      <c r="E7" s="1960"/>
    </row>
    <row r="8" spans="1:5" ht="15.75">
      <c r="A8" s="1960"/>
      <c r="B8" s="3057" t="str">
        <f>结果表!E103</f>
        <v>2.估价师知悉的法定优先受偿款</v>
      </c>
      <c r="C8" s="1965" t="s">
        <v>1625</v>
      </c>
      <c r="D8" s="1042">
        <f>结果表!H103</f>
        <v>0</v>
      </c>
      <c r="E8" s="1960"/>
    </row>
    <row r="9" spans="1:5" ht="15.75">
      <c r="A9" s="1960"/>
      <c r="B9" s="3059"/>
      <c r="C9" s="1963" t="s">
        <v>1623</v>
      </c>
      <c r="D9" s="1041" t="str">
        <f>NUMBERSTRING(INT(D8*10000),2)&amp;"元整"</f>
        <v>零元整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3050" t="str">
        <f>结果表!E107</f>
        <v>3.房地产抵押价值</v>
      </c>
      <c r="C13" s="1968" t="s">
        <v>1622</v>
      </c>
      <c r="D13" s="1044">
        <f ca="1">结果表!H107</f>
        <v>6406</v>
      </c>
      <c r="E13" s="1960"/>
    </row>
    <row r="14" spans="1:5" ht="15.75">
      <c r="A14" s="1960"/>
      <c r="B14" s="3051"/>
      <c r="C14" s="1963" t="s">
        <v>1623</v>
      </c>
      <c r="D14" s="1041" t="str">
        <f ca="1">NUMBERSTRING(INT(D13*10000),2)&amp;"元整"</f>
        <v>陆仟肆佰零陆万元整</v>
      </c>
      <c r="E14" s="1960"/>
    </row>
    <row r="15" spans="1:5" ht="15">
      <c r="A15" s="1960"/>
      <c r="B15" s="3056"/>
      <c r="C15" s="1964" t="s">
        <v>1633</v>
      </c>
      <c r="D15" s="1053">
        <f ca="1">结果表!H108</f>
        <v>25659</v>
      </c>
      <c r="E15" s="1960"/>
    </row>
    <row r="16" spans="1:5" ht="15">
      <c r="A16" s="1960"/>
      <c r="B16" s="3057" t="str">
        <f>结果表!E109</f>
        <v>——</v>
      </c>
      <c r="C16" s="1968" t="s">
        <v>1634</v>
      </c>
      <c r="D16" s="1969" t="str">
        <f>结果表!H109</f>
        <v>——</v>
      </c>
      <c r="E16" s="1960"/>
    </row>
    <row r="17" spans="1:5" ht="15.75">
      <c r="A17" s="1960"/>
      <c r="B17" s="3058"/>
      <c r="C17" s="1963" t="s">
        <v>1635</v>
      </c>
      <c r="D17" s="1041" t="e">
        <f>NUMBERSTRING(INT(D16*10000),2)&amp;"元整"</f>
        <v>#VALUE!</v>
      </c>
      <c r="E17" s="1960"/>
    </row>
    <row r="18" spans="1:5" ht="15">
      <c r="A18" s="1960"/>
      <c r="B18" s="3059"/>
      <c r="C18" s="1964" t="s">
        <v>1624</v>
      </c>
      <c r="D18" s="1053" t="str">
        <f>结果表!H110</f>
        <v>——</v>
      </c>
      <c r="E18" s="1960"/>
    </row>
    <row r="19" spans="1:5" ht="15.75">
      <c r="A19" s="1960"/>
      <c r="B19" s="3050" t="str">
        <f>结果表!E111</f>
        <v>——</v>
      </c>
      <c r="C19" s="1968" t="s">
        <v>1622</v>
      </c>
      <c r="D19" s="1042" t="str">
        <f>结果表!H111</f>
        <v>——</v>
      </c>
      <c r="E19" s="1960"/>
    </row>
    <row r="20" spans="1:5" ht="15.75">
      <c r="A20" s="1960"/>
      <c r="B20" s="3051"/>
      <c r="C20" s="1963" t="s">
        <v>1635</v>
      </c>
      <c r="D20" s="1041" t="e">
        <f>NUMBERSTRING(INT(D19*10000),2)&amp;"元整"</f>
        <v>#VALUE!</v>
      </c>
      <c r="E20" s="1960"/>
    </row>
    <row r="21" spans="1:5" ht="15.75" thickBot="1">
      <c r="A21" s="1960"/>
      <c r="B21" s="3052"/>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9" t="s">
        <v>871</v>
      </c>
      <c r="B1" s="336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43251</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80" sqref="C8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3196</v>
      </c>
      <c r="D1" s="1821" t="s">
        <v>70</v>
      </c>
      <c r="E1" s="1822" t="s">
        <v>1387</v>
      </c>
      <c r="F1" s="1284">
        <f ca="1">J53</f>
        <v>24.5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6096</v>
      </c>
      <c r="C2" s="1846" t="s">
        <v>1515</v>
      </c>
      <c r="D2" s="1846"/>
      <c r="E2" s="1847"/>
      <c r="F2" s="1848"/>
      <c r="G2" s="1849"/>
      <c r="H2" s="1841"/>
      <c r="I2" s="1841"/>
      <c r="J2" s="1841"/>
      <c r="K2" s="1842"/>
      <c r="L2" s="1841"/>
      <c r="M2" s="1841"/>
    </row>
    <row r="3" spans="1:37" ht="18" customHeight="1" thickBot="1">
      <c r="A3" s="1850" t="s">
        <v>1516</v>
      </c>
      <c r="B3" s="1851">
        <f ca="1">IF(ISERROR(B2*10000/F43),0,ROUND(B2*10000/F43,0))</f>
        <v>24417</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460</v>
      </c>
      <c r="D5" s="1823" t="s">
        <v>1402</v>
      </c>
      <c r="E5" s="1294"/>
      <c r="F5" s="1295"/>
      <c r="G5" s="1852"/>
      <c r="H5" s="344">
        <v>1</v>
      </c>
      <c r="I5" s="345" t="s">
        <v>1401</v>
      </c>
      <c r="J5" s="1293">
        <f ca="1">J6+J10+J12</f>
        <v>0</v>
      </c>
      <c r="K5" s="1823" t="s">
        <v>1402</v>
      </c>
      <c r="L5" s="1294"/>
      <c r="M5" s="1295"/>
    </row>
    <row r="6" spans="1:37" ht="18" customHeight="1">
      <c r="A6" s="1292" t="s">
        <v>1035</v>
      </c>
      <c r="B6" s="3288" t="s">
        <v>1403</v>
      </c>
      <c r="C6" s="1297">
        <f ca="1">ROUND(F6*F8*F7*(1-F9)/10000,0)</f>
        <v>459</v>
      </c>
      <c r="D6" s="164" t="s">
        <v>3027</v>
      </c>
      <c r="E6" s="347" t="s">
        <v>1405</v>
      </c>
      <c r="F6" s="348">
        <f ca="1">INDIRECT("'数据-取费表'!u"&amp;$G$1)</f>
        <v>5.6</v>
      </c>
      <c r="G6" s="1852"/>
      <c r="H6" s="1292" t="s">
        <v>1035</v>
      </c>
      <c r="I6" s="3288" t="s">
        <v>1403</v>
      </c>
      <c r="J6" s="346">
        <f ca="1">ROUND(M6*M8*M7*(1-M9)/10000,0)</f>
        <v>0</v>
      </c>
      <c r="K6" s="164" t="s">
        <v>3026</v>
      </c>
      <c r="L6" s="347" t="s">
        <v>1405</v>
      </c>
      <c r="M6" s="348">
        <f ca="1">INDIRECT("'数据-取费表'!z"&amp;$G$1)</f>
        <v>0</v>
      </c>
    </row>
    <row r="7" spans="1:37" ht="18" customHeight="1">
      <c r="A7" s="1296"/>
      <c r="B7" s="3289"/>
      <c r="C7" s="1298"/>
      <c r="D7" s="352"/>
      <c r="E7" s="2956" t="s">
        <v>1406</v>
      </c>
      <c r="F7" s="348">
        <f ca="1">IF(INDIRECT("'数据-取费表'!ah"&amp;$G$1)="",INDIRECT("'数据-取费表'!k"&amp;$G$1),INDIRECT("'数据-取费表'!ah"&amp;$G$1))</f>
        <v>2496.59</v>
      </c>
      <c r="G7" s="1852"/>
      <c r="H7" s="349"/>
      <c r="I7" s="3289"/>
      <c r="J7" s="351"/>
      <c r="K7" s="352"/>
      <c r="L7" s="347" t="s">
        <v>1406</v>
      </c>
      <c r="M7" s="348">
        <f ca="1">F7</f>
        <v>2496.59</v>
      </c>
    </row>
    <row r="8" spans="1:37" ht="18" customHeight="1">
      <c r="A8" s="349"/>
      <c r="B8" s="3289"/>
      <c r="C8" s="351"/>
      <c r="D8" s="352"/>
      <c r="E8" s="347" t="s">
        <v>1407</v>
      </c>
      <c r="F8" s="348">
        <f ca="1">INDIRECT("'数据-取费表'!ai"&amp;$G$1)</f>
        <v>365</v>
      </c>
      <c r="G8" s="1852"/>
      <c r="H8" s="349"/>
      <c r="I8" s="3289"/>
      <c r="J8" s="351"/>
      <c r="K8" s="352"/>
      <c r="L8" s="347" t="s">
        <v>1407</v>
      </c>
      <c r="M8" s="348">
        <f ca="1">INDIRECT("'数据-取费表'!ai"&amp;$G$1)</f>
        <v>365</v>
      </c>
    </row>
    <row r="9" spans="1:37" ht="18" customHeight="1">
      <c r="A9" s="349"/>
      <c r="B9" s="3290"/>
      <c r="C9" s="351"/>
      <c r="D9" s="352"/>
      <c r="E9" s="347" t="s">
        <v>1408</v>
      </c>
      <c r="F9" s="357">
        <f ca="1">INDIRECT("'数据-取费表'!w"&amp;$G$1)</f>
        <v>0.1</v>
      </c>
      <c r="G9" s="1852"/>
      <c r="H9" s="349"/>
      <c r="I9" s="3290"/>
      <c r="J9" s="351"/>
      <c r="K9" s="352"/>
      <c r="L9" s="358" t="s">
        <v>1408</v>
      </c>
      <c r="M9" s="359">
        <f ca="1">INDIRECT("'数据-取费表'!ab"&amp;$G$1)</f>
        <v>0</v>
      </c>
    </row>
    <row r="10" spans="1:37" ht="18" customHeight="1">
      <c r="A10" s="1292" t="s">
        <v>1039</v>
      </c>
      <c r="B10" s="1824" t="s">
        <v>1409</v>
      </c>
      <c r="C10" s="361">
        <f ca="1">ROUND(IF(F10="押一",C6/12*F11,IF(F10="押二",C6/12*2*F11,IF(F10="押三",C6/12*3*F11,C11*F11))),0)</f>
        <v>1</v>
      </c>
      <c r="D10" s="1825" t="s">
        <v>3035</v>
      </c>
      <c r="E10" s="358" t="s">
        <v>1410</v>
      </c>
      <c r="F10" s="1367" t="s">
        <v>3154</v>
      </c>
      <c r="G10" s="1852"/>
      <c r="H10" s="1292" t="s">
        <v>1039</v>
      </c>
      <c r="I10" s="1824" t="s">
        <v>1409</v>
      </c>
      <c r="J10" s="346">
        <f ca="1">ROUND(IF(M10="押一",J6/12*M11,IF(M10="押二",J6/12*2*M11,IF(M10="押三",J6/12*3*M11,J11*M11))),0)</f>
        <v>0</v>
      </c>
      <c r="K10" s="1825" t="s">
        <v>3035</v>
      </c>
      <c r="L10" s="358" t="s">
        <v>1410</v>
      </c>
      <c r="M10" s="1367" t="s">
        <v>3154</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959</v>
      </c>
      <c r="D13" s="1332" t="s">
        <v>1414</v>
      </c>
      <c r="E13" s="1332" t="s">
        <v>1415</v>
      </c>
      <c r="F13" s="1333">
        <f ca="1">INDIRECT("'数据-取费表'!y"&amp;$G$1)</f>
        <v>0.77</v>
      </c>
      <c r="G13" s="1852"/>
      <c r="H13" s="1330">
        <v>2</v>
      </c>
      <c r="I13" s="1331" t="s">
        <v>1413</v>
      </c>
      <c r="J13" s="1291">
        <f ca="1">ROUND(J14*J15,0)</f>
        <v>0</v>
      </c>
      <c r="K13" s="1338" t="s">
        <v>1414</v>
      </c>
      <c r="L13" s="1853"/>
      <c r="M13" s="1854"/>
    </row>
    <row r="14" spans="1:37" ht="18" customHeight="1">
      <c r="A14" s="1202" t="s">
        <v>1034</v>
      </c>
      <c r="B14" s="347" t="s">
        <v>1416</v>
      </c>
      <c r="C14" s="363">
        <f ca="1">INDIRECT("'数据-取费表'!m"&amp;$G$1)+INDIRECT("'数据-取费表'!t"&amp;$G$1)</f>
        <v>799</v>
      </c>
      <c r="D14" s="2949" t="s">
        <v>1417</v>
      </c>
      <c r="E14" s="2947"/>
      <c r="F14" s="364"/>
      <c r="G14" s="1852"/>
      <c r="H14" s="1202" t="s">
        <v>1035</v>
      </c>
      <c r="I14" s="347" t="s">
        <v>1418</v>
      </c>
      <c r="J14" s="24">
        <f ca="1">C29</f>
        <v>1246</v>
      </c>
      <c r="K14" s="2955"/>
      <c r="L14" s="980"/>
      <c r="M14" s="981"/>
    </row>
    <row r="15" spans="1:37" s="1859" customFormat="1" ht="18" customHeight="1" thickBot="1">
      <c r="A15" s="1202" t="s">
        <v>1036</v>
      </c>
      <c r="B15" s="347" t="s">
        <v>1419</v>
      </c>
      <c r="C15" s="24">
        <f ca="1">ROUND(C14*F15,0)</f>
        <v>24</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26</v>
      </c>
      <c r="K16" s="1338" t="s">
        <v>1424</v>
      </c>
      <c r="L16" s="2950"/>
      <c r="M16" s="1295"/>
    </row>
    <row r="17" spans="1:37" s="1859" customFormat="1" ht="18" customHeight="1">
      <c r="A17" s="1202" t="s">
        <v>1390</v>
      </c>
      <c r="B17" s="347" t="s">
        <v>1425</v>
      </c>
      <c r="C17" s="24">
        <f ca="1">ROUND(F17*(F43+INDIRECT("'数据-取费表'!S"&amp;$G$1))/10000,0)</f>
        <v>50</v>
      </c>
      <c r="D17" s="347" t="s">
        <v>1426</v>
      </c>
      <c r="E17" s="347" t="s">
        <v>1427</v>
      </c>
      <c r="F17" s="26">
        <f>'数据-取费表'!B35</f>
        <v>200</v>
      </c>
      <c r="G17" s="1855"/>
      <c r="H17" s="1202" t="s">
        <v>1035</v>
      </c>
      <c r="I17" s="347" t="s">
        <v>1428</v>
      </c>
      <c r="J17" s="24">
        <f ca="1">ROUND(IF(项目基本情况!B11="自然人",J5*M17,J18+J19+J20),1)</f>
        <v>1.4</v>
      </c>
      <c r="K17" s="2949" t="s">
        <v>1429</v>
      </c>
      <c r="L17" s="2948"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12</v>
      </c>
      <c r="D18" s="347" t="s">
        <v>1420</v>
      </c>
      <c r="E18" s="347" t="s">
        <v>1421</v>
      </c>
      <c r="F18" s="367">
        <f>'数据-取费表'!B36</f>
        <v>1.4999999999999999E-2</v>
      </c>
      <c r="G18" s="1855"/>
      <c r="H18" s="1202" t="s">
        <v>1034</v>
      </c>
      <c r="I18" s="347" t="s">
        <v>1432</v>
      </c>
      <c r="J18" s="24">
        <f ca="1">ROUND(J5*M18/(1+'数据-取费表'!C42),2)</f>
        <v>0</v>
      </c>
      <c r="K18" s="2948"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885</v>
      </c>
      <c r="D19" s="140" t="s">
        <v>1435</v>
      </c>
      <c r="E19" s="2954"/>
      <c r="F19" s="26"/>
      <c r="G19" s="1852"/>
      <c r="H19" s="1202" t="s">
        <v>1036</v>
      </c>
      <c r="I19" s="347" t="s">
        <v>1436</v>
      </c>
      <c r="J19" s="24">
        <f ca="1">IF(K19="按租金收入计税",ROUND(J5*M19,2),ROUND(C29*M19*0.7,2))</f>
        <v>0</v>
      </c>
      <c r="K19" s="1829" t="s">
        <v>3156</v>
      </c>
      <c r="L19" s="347" t="s">
        <v>1421</v>
      </c>
      <c r="M19" s="367">
        <f>IF(K19="按租金收入计税",'数据-取费表'!B51,'数据-取费表'!B50)</f>
        <v>0.12</v>
      </c>
    </row>
    <row r="20" spans="1:37" s="1859" customFormat="1" ht="18" customHeight="1">
      <c r="A20" s="1202" t="s">
        <v>1039</v>
      </c>
      <c r="B20" s="347" t="s">
        <v>1438</v>
      </c>
      <c r="C20" s="24">
        <f ca="1">ROUND(C19*F20,0)</f>
        <v>18</v>
      </c>
      <c r="D20" s="369" t="s">
        <v>1439</v>
      </c>
      <c r="E20" s="347" t="s">
        <v>1421</v>
      </c>
      <c r="F20" s="367">
        <f>'数据-取费表'!B37</f>
        <v>0.02</v>
      </c>
      <c r="G20" s="1855"/>
      <c r="H20" s="1202" t="s">
        <v>1389</v>
      </c>
      <c r="I20" s="164" t="s">
        <v>1440</v>
      </c>
      <c r="J20" s="25">
        <f ca="1">ROUND(M20*M21/10000,2)</f>
        <v>1.35</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1121.78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2954"/>
      <c r="F22" s="26"/>
      <c r="G22" s="1852"/>
      <c r="H22" s="1202" t="s">
        <v>1039</v>
      </c>
      <c r="I22" s="347" t="s">
        <v>1448</v>
      </c>
      <c r="J22" s="24">
        <f ca="1">ROUND(J14*M22,1)</f>
        <v>24.9</v>
      </c>
      <c r="K22" s="2948" t="s">
        <v>1449</v>
      </c>
      <c r="L22" s="347" t="s">
        <v>1421</v>
      </c>
      <c r="M22" s="374">
        <f ca="1">INDIRECT("'数据-取费表'!Ak"&amp;$G$1)</f>
        <v>0.02</v>
      </c>
    </row>
    <row r="23" spans="1:37" s="1859" customFormat="1" ht="18" customHeight="1">
      <c r="A23" s="1202" t="s">
        <v>1034</v>
      </c>
      <c r="B23" s="347" t="s">
        <v>1450</v>
      </c>
      <c r="C23" s="24">
        <f ca="1">IF('数据-取费表'!B22&lt;=1,ROUND(C19*F24*F23/2,0)+ROUND(C20*F24*F23/2,0),ROUND(C19*(POWER((1+F24),F23/2)-1),0)+ROUND(C20*(POWER((1+F24),F23/2)-1),0))</f>
        <v>19</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0</v>
      </c>
      <c r="K23" s="2948" t="s">
        <v>1453</v>
      </c>
      <c r="L23" s="347" t="s">
        <v>1421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1392</v>
      </c>
      <c r="I24" s="1341" t="s">
        <v>1438</v>
      </c>
      <c r="J24" s="1342">
        <f ca="1">ROUND(J5*M24,1)</f>
        <v>0</v>
      </c>
      <c r="K24" s="1343" t="s">
        <v>1458</v>
      </c>
      <c r="L24" s="1341" t="s">
        <v>1421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2954"/>
      <c r="F25" s="26"/>
      <c r="G25" s="1852"/>
      <c r="H25" s="1330" t="s">
        <v>1031</v>
      </c>
      <c r="I25" s="1345" t="s">
        <v>1462</v>
      </c>
      <c r="J25" s="355">
        <f ca="1">J5-J16</f>
        <v>-26</v>
      </c>
      <c r="K25" s="1346" t="s">
        <v>1463</v>
      </c>
      <c r="L25" s="1347"/>
      <c r="M25" s="1348"/>
    </row>
    <row r="26" spans="1:37">
      <c r="A26" s="1202" t="s">
        <v>1034</v>
      </c>
      <c r="B26" s="347" t="s">
        <v>1464</v>
      </c>
      <c r="C26" s="24">
        <f ca="1">ROUND((C19+C20)*F26,0)</f>
        <v>226</v>
      </c>
      <c r="D26" s="369" t="s">
        <v>1465</v>
      </c>
      <c r="E26" s="358" t="s">
        <v>1466</v>
      </c>
      <c r="F26" s="357">
        <f ca="1">INDIRECT("'数据-取费表'!q"&amp;$G$1)</f>
        <v>0.25</v>
      </c>
      <c r="G26" s="1852"/>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1246</v>
      </c>
      <c r="D29" s="1343"/>
      <c r="E29" s="1341"/>
      <c r="F29" s="1344"/>
      <c r="G29" s="1855"/>
      <c r="H29" s="380" t="s">
        <v>1033</v>
      </c>
      <c r="I29" s="381" t="s">
        <v>1478</v>
      </c>
      <c r="J29" s="382">
        <f ca="1">ROUND(J26/(1+F40)^F41,0)</f>
        <v>0</v>
      </c>
      <c r="K29" s="383" t="s">
        <v>1479</v>
      </c>
      <c r="L29" s="384"/>
      <c r="M29" s="385">
        <f ca="1">INDIRECT("'数据-取费表'!k"&amp;$G$1)</f>
        <v>2496.59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117</v>
      </c>
      <c r="D30" s="1338" t="s">
        <v>1424</v>
      </c>
      <c r="E30" s="2950"/>
      <c r="F30" s="1295"/>
      <c r="G30" s="1852"/>
      <c r="H30" s="743"/>
      <c r="I30" s="744"/>
      <c r="J30" s="745"/>
      <c r="K30" s="746"/>
      <c r="L30" s="747"/>
      <c r="M30" s="748"/>
    </row>
    <row r="31" spans="1:37" ht="18" customHeight="1">
      <c r="A31" s="1202" t="s">
        <v>1035</v>
      </c>
      <c r="B31" s="347" t="s">
        <v>1428</v>
      </c>
      <c r="C31" s="24">
        <f ca="1">ROUND(IF(项目基本情况!B11="自然人",C5*F31,C32+C33+C34),1)</f>
        <v>81.099999999999994</v>
      </c>
      <c r="D31" s="2949" t="s">
        <v>1429</v>
      </c>
      <c r="E31" s="2948"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24.53</v>
      </c>
      <c r="D32" s="2948"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55.2</v>
      </c>
      <c r="D33" s="1829" t="s">
        <v>3156</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1.35</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1121.78</v>
      </c>
      <c r="G35" s="1852"/>
      <c r="H35" s="743"/>
      <c r="I35" s="1861"/>
      <c r="J35" s="1862"/>
      <c r="K35" s="1863"/>
      <c r="L35" s="1860"/>
      <c r="M35" s="1860"/>
    </row>
    <row r="36" spans="1:18" ht="18" customHeight="1">
      <c r="A36" s="1353" t="s">
        <v>1039</v>
      </c>
      <c r="B36" s="347" t="s">
        <v>1448</v>
      </c>
      <c r="C36" s="24">
        <f ca="1">ROUND(C29*F36,1)</f>
        <v>24.9</v>
      </c>
      <c r="D36" s="2948" t="s">
        <v>1481</v>
      </c>
      <c r="E36" s="347" t="s">
        <v>1421</v>
      </c>
      <c r="F36" s="374">
        <f ca="1">INDIRECT("'数据-取费表'!Ak"&amp;$G$1)</f>
        <v>0.02</v>
      </c>
      <c r="G36" s="1852"/>
      <c r="H36" s="1860"/>
      <c r="I36" s="1861"/>
      <c r="J36" s="1862"/>
      <c r="K36" s="749"/>
      <c r="L36" s="1860"/>
      <c r="M36" s="1860"/>
    </row>
    <row r="37" spans="1:18" ht="18" customHeight="1">
      <c r="A37" s="1202" t="s">
        <v>1075</v>
      </c>
      <c r="B37" s="347" t="s">
        <v>1452</v>
      </c>
      <c r="C37" s="24">
        <f ca="1">ROUND(C13*F37,1)</f>
        <v>1.4</v>
      </c>
      <c r="D37" s="2948" t="s">
        <v>1453</v>
      </c>
      <c r="E37" s="347" t="s">
        <v>1421</v>
      </c>
      <c r="F37" s="376">
        <f ca="1">INDIRECT("'数据-取费表'!Al"&amp;$G$1)</f>
        <v>1.5E-3</v>
      </c>
      <c r="G37" s="1852"/>
      <c r="H37" s="1860"/>
      <c r="I37" s="1861"/>
      <c r="J37" s="1862"/>
      <c r="K37" s="749"/>
      <c r="L37" s="1860"/>
      <c r="M37" s="1860"/>
    </row>
    <row r="38" spans="1:18" ht="18" customHeight="1" thickBot="1">
      <c r="A38" s="1340" t="s">
        <v>1392</v>
      </c>
      <c r="B38" s="1341" t="s">
        <v>1438</v>
      </c>
      <c r="C38" s="1342">
        <f ca="1">ROUND(C5*F38,1)</f>
        <v>9.1999999999999993</v>
      </c>
      <c r="D38" s="1343" t="s">
        <v>1458</v>
      </c>
      <c r="E38" s="1341" t="s">
        <v>1421</v>
      </c>
      <c r="F38" s="1337">
        <f ca="1">INDIRECT("'数据-取费表'!Am"&amp;$G$1)</f>
        <v>0.02</v>
      </c>
      <c r="G38" s="1852"/>
      <c r="H38" s="1860"/>
      <c r="I38" s="1861"/>
      <c r="J38" s="1862"/>
      <c r="K38" s="1866"/>
      <c r="L38" s="1860"/>
      <c r="M38" s="1860"/>
    </row>
    <row r="39" spans="1:18" ht="24.6" customHeight="1" thickTop="1">
      <c r="A39" s="1330" t="s">
        <v>1031</v>
      </c>
      <c r="B39" s="1345" t="s">
        <v>1462</v>
      </c>
      <c r="C39" s="355">
        <f ca="1">C5-C30</f>
        <v>343</v>
      </c>
      <c r="D39" s="1346" t="s">
        <v>1463</v>
      </c>
      <c r="E39" s="1347"/>
      <c r="F39" s="1348"/>
      <c r="G39" s="1852"/>
      <c r="H39" s="1860"/>
      <c r="I39" s="1861"/>
      <c r="J39" s="1862"/>
      <c r="K39" s="1866"/>
      <c r="L39" s="1860"/>
      <c r="M39" s="1860"/>
    </row>
    <row r="40" spans="1:18" ht="18" customHeight="1">
      <c r="A40" s="344" t="s">
        <v>1032</v>
      </c>
      <c r="B40" s="345" t="s">
        <v>1484</v>
      </c>
      <c r="C40" s="346">
        <f ca="1">ROUND(C39*(1-((1+F42)/(1+F40))^F41)/(F40-F42),0)</f>
        <v>6096</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24.5</v>
      </c>
      <c r="G41" s="1852"/>
      <c r="H41" s="730"/>
      <c r="I41" s="1861"/>
      <c r="J41" s="1862"/>
      <c r="K41" s="749"/>
      <c r="L41" s="730"/>
      <c r="M41" s="730"/>
    </row>
    <row r="42" spans="1:18" ht="18" customHeight="1">
      <c r="A42" s="353"/>
      <c r="B42" s="354"/>
      <c r="C42" s="355"/>
      <c r="D42" s="373"/>
      <c r="E42" s="347" t="s">
        <v>1476</v>
      </c>
      <c r="F42" s="357">
        <f ca="1">INDIRECT("'数据-取费表'!v"&amp;$G$1)</f>
        <v>0.03</v>
      </c>
      <c r="G42" s="1852"/>
      <c r="H42" s="730"/>
      <c r="I42" s="1861"/>
      <c r="J42" s="1862"/>
      <c r="K42" s="749"/>
      <c r="L42" s="730"/>
      <c r="M42" s="730"/>
    </row>
    <row r="43" spans="1:18" ht="18" customHeight="1" thickBot="1">
      <c r="A43" s="380" t="s">
        <v>1033</v>
      </c>
      <c r="B43" s="381" t="s">
        <v>1486</v>
      </c>
      <c r="C43" s="382">
        <f ca="1">ROUND(C40*10000/F43,0)</f>
        <v>24417</v>
      </c>
      <c r="D43" s="383" t="s">
        <v>1487</v>
      </c>
      <c r="E43" s="384" t="s">
        <v>1488</v>
      </c>
      <c r="F43" s="385">
        <f ca="1">INDIRECT("'数据-取费表'!k"&amp;$G$1)</f>
        <v>2496.59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-981</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3135</v>
      </c>
      <c r="K47" s="1883" t="s">
        <v>1526</v>
      </c>
      <c r="L47" s="1884">
        <f ca="1">INDIRECT("'数据-取费表'!d"&amp;$G$1)</f>
        <v>40</v>
      </c>
      <c r="M47" s="1839" t="str">
        <f>IF(ISNUMBER(FIND("住宅",C1)),"住宅","非住宅")</f>
        <v>非住宅</v>
      </c>
      <c r="O47" s="1885" t="s">
        <v>1040</v>
      </c>
      <c r="P47" s="1886" t="s">
        <v>1527</v>
      </c>
      <c r="Q47" s="1887">
        <f ca="1">C40+J29</f>
        <v>6096</v>
      </c>
      <c r="R47" s="1887" t="s">
        <v>1528</v>
      </c>
    </row>
    <row r="48" spans="1:18" s="1843" customFormat="1" ht="28.5" thickBot="1">
      <c r="A48" s="1361" t="s">
        <v>1135</v>
      </c>
      <c r="B48" s="345" t="s">
        <v>1401</v>
      </c>
      <c r="C48" s="2953">
        <f ca="1">C49+C53+C55</f>
        <v>511</v>
      </c>
      <c r="D48" s="1363"/>
      <c r="E48" s="1364"/>
      <c r="F48" s="1182"/>
      <c r="G48" s="790"/>
      <c r="H48" s="791"/>
      <c r="I48" s="1888" t="s">
        <v>1529</v>
      </c>
      <c r="J48" s="1889" t="s">
        <v>3155</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510</v>
      </c>
      <c r="D49" s="1277" t="s">
        <v>3026</v>
      </c>
      <c r="E49" s="1831" t="s">
        <v>1490</v>
      </c>
      <c r="F49" s="1282">
        <f>案例及商业租金楼层修正!F59</f>
        <v>5.6</v>
      </c>
      <c r="G49" s="1892"/>
      <c r="H49" s="791"/>
      <c r="I49" s="1888" t="s">
        <v>1533</v>
      </c>
      <c r="J49" s="1893">
        <v>2004</v>
      </c>
      <c r="K49" s="1890" t="s">
        <v>1534</v>
      </c>
      <c r="L49" s="1894"/>
      <c r="O49" s="1895" t="s">
        <v>1042</v>
      </c>
      <c r="P49" s="1886" t="s">
        <v>1535</v>
      </c>
      <c r="Q49" s="1887">
        <f ca="1">C29</f>
        <v>1246</v>
      </c>
      <c r="R49" s="1887" t="s">
        <v>1528</v>
      </c>
    </row>
    <row r="50" spans="1:18" s="1843" customFormat="1" ht="13.5" thickBot="1">
      <c r="A50" s="1196"/>
      <c r="B50" s="1199"/>
      <c r="C50" s="1369"/>
      <c r="D50" s="1173"/>
      <c r="E50" s="1278" t="s">
        <v>1406</v>
      </c>
      <c r="F50" s="1279">
        <f ca="1">F7</f>
        <v>2496.59</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3447</v>
      </c>
      <c r="M51" s="1903"/>
      <c r="O51" s="1895" t="s">
        <v>1044</v>
      </c>
      <c r="P51" s="1886" t="s">
        <v>1541</v>
      </c>
      <c r="Q51" s="1898">
        <f>J52</f>
        <v>0.09</v>
      </c>
      <c r="R51" s="1887"/>
    </row>
    <row r="52" spans="1:18" s="1843" customFormat="1" ht="13.5" thickBot="1">
      <c r="A52" s="1197"/>
      <c r="B52" s="1199"/>
      <c r="C52" s="1200"/>
      <c r="D52" s="1173"/>
      <c r="E52" s="1201" t="s">
        <v>1408</v>
      </c>
      <c r="F52" s="1276">
        <f ca="1">M9</f>
        <v>0</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1</v>
      </c>
      <c r="D53" s="1825" t="s">
        <v>3035</v>
      </c>
      <c r="E53" s="358" t="s">
        <v>1410</v>
      </c>
      <c r="F53" s="1367" t="s">
        <v>3154</v>
      </c>
      <c r="I53" s="1906" t="s">
        <v>1546</v>
      </c>
      <c r="J53" s="1907">
        <f ca="1">IF(M47="住宅",J51,IF(D1="——",MIN(J51,L48),IF(D1="在建（套用方法）",MIN(J51,L48-'数据-取费表'!B24),IF(D1="土地（套用方法）",MIN(J51,L48-'数据-取费表'!B20)))))</f>
        <v>24.5</v>
      </c>
      <c r="K53" s="3286" t="s">
        <v>1547</v>
      </c>
      <c r="L53" s="3287"/>
      <c r="O53" s="1885" t="s">
        <v>1046</v>
      </c>
      <c r="P53" s="1886" t="s">
        <v>1548</v>
      </c>
      <c r="Q53" s="1887">
        <f ca="1">Q47+Q48</f>
        <v>6096</v>
      </c>
      <c r="R53" s="1887" t="s">
        <v>1047</v>
      </c>
    </row>
    <row r="54" spans="1:18" s="1843" customFormat="1" ht="13.5" thickBot="1">
      <c r="A54" s="1407"/>
      <c r="B54" s="1826" t="s">
        <v>1388</v>
      </c>
      <c r="C54" s="1179"/>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2952"/>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959</v>
      </c>
      <c r="D56" s="1915"/>
      <c r="E56" s="1916"/>
      <c r="F56" s="1908"/>
      <c r="I56" s="1917" t="s">
        <v>1553</v>
      </c>
      <c r="J56" s="1918" t="s">
        <v>3053</v>
      </c>
      <c r="K56" s="1888" t="s">
        <v>1554</v>
      </c>
      <c r="L56" s="1891" t="str">
        <f ca="1">IF(L48&lt;J51,"——",L48-J53)</f>
        <v>——</v>
      </c>
      <c r="O56" s="1885" t="s">
        <v>1040</v>
      </c>
      <c r="P56" s="1886" t="s">
        <v>1527</v>
      </c>
      <c r="Q56" s="1887">
        <f ca="1">C40+J29</f>
        <v>6096</v>
      </c>
      <c r="R56" s="1887" t="s">
        <v>1528</v>
      </c>
    </row>
    <row r="57" spans="1:18" s="1843" customFormat="1" ht="24.75" thickBot="1">
      <c r="A57" s="1919"/>
      <c r="B57" s="1170" t="s">
        <v>1477</v>
      </c>
      <c r="C57" s="282">
        <f ca="1">C29</f>
        <v>1246</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126</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89.9</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27.25</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1436</v>
      </c>
      <c r="C61" s="24">
        <f ca="1">IF(项目基本情况!B11="自然人","——",IF(D61="按租金收入计税",ROUND(C48*F61,2),IF(D61="按房产原值计税",ROUND(C57*F61*0.7,2),INDIRECT("'数据-取费表'!Aj"&amp;$G$1))))</f>
        <v>61.32</v>
      </c>
      <c r="D61" s="1829" t="s">
        <v>3156</v>
      </c>
      <c r="E61" s="1170" t="s">
        <v>1421</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1440</v>
      </c>
      <c r="C62" s="25">
        <f ca="1">IF(项目基本情况!B11="自然人","——",ROUND(F62*F63/10000,2))</f>
        <v>1.35</v>
      </c>
      <c r="D62" s="1185" t="s">
        <v>1441</v>
      </c>
      <c r="E62" s="1170" t="s">
        <v>1442</v>
      </c>
      <c r="F62" s="371">
        <f t="shared" si="0"/>
        <v>12</v>
      </c>
      <c r="I62" s="1930" t="s">
        <v>1569</v>
      </c>
      <c r="J62" s="1931" t="s">
        <v>1570</v>
      </c>
      <c r="K62" s="1931" t="s">
        <v>1571</v>
      </c>
      <c r="L62" s="1931" t="s">
        <v>1572</v>
      </c>
      <c r="M62" s="1932" t="s">
        <v>1573</v>
      </c>
      <c r="O62" s="1885" t="s">
        <v>1046</v>
      </c>
      <c r="P62" s="1886" t="s">
        <v>1548</v>
      </c>
      <c r="Q62" s="1887">
        <f ca="1">Q56+Q57</f>
        <v>6096</v>
      </c>
      <c r="R62" s="1887" t="s">
        <v>1047</v>
      </c>
    </row>
    <row r="63" spans="1:18" s="1843" customFormat="1" ht="13.5" thickBot="1">
      <c r="A63" s="372"/>
      <c r="B63" s="1176"/>
      <c r="C63" s="29"/>
      <c r="D63" s="1186"/>
      <c r="E63" s="1170" t="s">
        <v>1446</v>
      </c>
      <c r="F63" s="348">
        <f t="shared" ca="1" si="0"/>
        <v>1121.78</v>
      </c>
      <c r="I63" s="1930" t="s">
        <v>1575</v>
      </c>
      <c r="J63" s="1931">
        <v>70</v>
      </c>
      <c r="K63" s="1931">
        <v>50</v>
      </c>
      <c r="L63" s="1931">
        <v>80</v>
      </c>
      <c r="M63" s="1933">
        <v>0.02</v>
      </c>
      <c r="O63" s="1870" t="s">
        <v>1576</v>
      </c>
      <c r="P63" s="1840"/>
      <c r="Q63" s="1840"/>
      <c r="R63" s="1840"/>
    </row>
    <row r="64" spans="1:18" s="1843" customFormat="1" ht="13.5" thickBot="1">
      <c r="A64" s="1202" t="s">
        <v>1039</v>
      </c>
      <c r="B64" s="1170" t="s">
        <v>1448</v>
      </c>
      <c r="C64" s="24">
        <f ca="1">ROUND(C57*F64,1)</f>
        <v>24.9</v>
      </c>
      <c r="D64" s="1184" t="s">
        <v>1481</v>
      </c>
      <c r="E64" s="1170" t="s">
        <v>1421</v>
      </c>
      <c r="F64" s="374">
        <f t="shared" ca="1" si="0"/>
        <v>0.02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1.4</v>
      </c>
      <c r="D65" s="1184" t="s">
        <v>1453</v>
      </c>
      <c r="E65" s="1170" t="s">
        <v>1421</v>
      </c>
      <c r="F65" s="376">
        <f t="shared" ca="1" si="0"/>
        <v>1.5E-3</v>
      </c>
      <c r="I65" s="1930" t="s">
        <v>1578</v>
      </c>
      <c r="J65" s="1931">
        <v>40</v>
      </c>
      <c r="K65" s="1931">
        <v>30</v>
      </c>
      <c r="L65" s="1931">
        <v>50</v>
      </c>
      <c r="M65" s="1933">
        <v>0.02</v>
      </c>
      <c r="O65" s="1885" t="s">
        <v>1040</v>
      </c>
      <c r="P65" s="1886" t="s">
        <v>1527</v>
      </c>
      <c r="Q65" s="1887">
        <f ca="1">C40+J29</f>
        <v>6096</v>
      </c>
      <c r="R65" s="1887" t="s">
        <v>1528</v>
      </c>
    </row>
    <row r="66" spans="1:18" s="1843" customFormat="1" ht="16.5" thickBot="1">
      <c r="A66" s="1202" t="s">
        <v>1503</v>
      </c>
      <c r="B66" s="1170" t="s">
        <v>1438</v>
      </c>
      <c r="C66" s="24">
        <f ca="1">ROUND(C48*F66,1)</f>
        <v>10.199999999999999</v>
      </c>
      <c r="D66" s="1184" t="s">
        <v>1458</v>
      </c>
      <c r="E66" s="1170" t="s">
        <v>1421</v>
      </c>
      <c r="F66" s="357">
        <f t="shared" ca="1" si="0"/>
        <v>0.02</v>
      </c>
      <c r="O66" s="1885" t="s">
        <v>1041</v>
      </c>
      <c r="P66" s="1886" t="s">
        <v>1557</v>
      </c>
      <c r="Q66" s="1887">
        <f ca="1">L60</f>
        <v>0</v>
      </c>
      <c r="R66" s="1887" t="s">
        <v>1580</v>
      </c>
    </row>
    <row r="67" spans="1:18" s="1843" customFormat="1" ht="16.5" thickBot="1">
      <c r="A67" s="1177" t="s">
        <v>1031</v>
      </c>
      <c r="B67" s="1187" t="s">
        <v>1462</v>
      </c>
      <c r="C67" s="361">
        <f ca="1">C48-C58</f>
        <v>385</v>
      </c>
      <c r="D67" s="1183" t="s">
        <v>1463</v>
      </c>
      <c r="E67" s="1188"/>
      <c r="F67" s="1189"/>
      <c r="O67" s="1895" t="s">
        <v>1042</v>
      </c>
      <c r="P67" s="1886" t="s">
        <v>1561</v>
      </c>
      <c r="Q67" s="1934">
        <f ca="1">L51</f>
        <v>3447</v>
      </c>
      <c r="R67" s="1887" t="s">
        <v>1581</v>
      </c>
    </row>
    <row r="68" spans="1:18" s="1843" customFormat="1" ht="16.5" thickBot="1">
      <c r="A68" s="1167" t="s">
        <v>1032</v>
      </c>
      <c r="B68" s="1168" t="s">
        <v>1484</v>
      </c>
      <c r="C68" s="346">
        <f ca="1">ROUND(C67*(1-((1+F70)/(1+F68))^F69)/(F68-F70),0)</f>
        <v>5115</v>
      </c>
      <c r="D68" s="1185" t="s">
        <v>1468</v>
      </c>
      <c r="E68" s="1170" t="s">
        <v>1469</v>
      </c>
      <c r="F68" s="357">
        <f ca="1">F40</f>
        <v>5.5E-2</v>
      </c>
      <c r="O68" s="1895" t="s">
        <v>1043</v>
      </c>
      <c r="P68" s="1935" t="s">
        <v>1582</v>
      </c>
      <c r="Q68" s="1887">
        <f ca="1">ROUND(Q69-Q70*Q71,0)</f>
        <v>247</v>
      </c>
      <c r="R68" s="1887" t="s">
        <v>1051</v>
      </c>
    </row>
    <row r="69" spans="1:18" s="1843" customFormat="1" ht="13.5" thickBot="1">
      <c r="A69" s="1171"/>
      <c r="B69" s="1172"/>
      <c r="C69" s="351"/>
      <c r="D69" s="1190" t="s">
        <v>1472</v>
      </c>
      <c r="E69" s="1170" t="s">
        <v>1473</v>
      </c>
      <c r="F69" s="379">
        <f ca="1">F41</f>
        <v>24.5</v>
      </c>
      <c r="O69" s="1895" t="s">
        <v>1048</v>
      </c>
      <c r="P69" s="1935" t="s">
        <v>1583</v>
      </c>
      <c r="Q69" s="1887">
        <f ca="1">C39</f>
        <v>343</v>
      </c>
      <c r="R69" s="1887" t="s">
        <v>1528</v>
      </c>
    </row>
    <row r="70" spans="1:18" s="1843" customFormat="1" ht="13.5" thickBot="1">
      <c r="A70" s="1174"/>
      <c r="B70" s="1175"/>
      <c r="C70" s="355"/>
      <c r="D70" s="1186"/>
      <c r="E70" s="1170" t="s">
        <v>1476</v>
      </c>
      <c r="F70" s="1276">
        <f ca="1">M28</f>
        <v>0</v>
      </c>
      <c r="O70" s="1895" t="s">
        <v>1049</v>
      </c>
      <c r="P70" s="1935" t="s">
        <v>1584</v>
      </c>
      <c r="Q70" s="1887">
        <f ca="1">C13</f>
        <v>959</v>
      </c>
      <c r="R70" s="1887" t="s">
        <v>1528</v>
      </c>
    </row>
    <row r="71" spans="1:18" s="1843" customFormat="1" ht="13.5" thickBot="1">
      <c r="A71" s="1191" t="s">
        <v>1033</v>
      </c>
      <c r="B71" s="1192" t="s">
        <v>1486</v>
      </c>
      <c r="C71" s="382">
        <f ca="1">ROUND(C68*10000/F71,0)</f>
        <v>20488</v>
      </c>
      <c r="D71" s="1193" t="s">
        <v>1487</v>
      </c>
      <c r="E71" s="1194" t="s">
        <v>1488</v>
      </c>
      <c r="F71" s="385">
        <f ca="1">F43</f>
        <v>2496.59</v>
      </c>
      <c r="O71" s="1895" t="s">
        <v>1050</v>
      </c>
      <c r="P71" s="1935" t="s">
        <v>1585</v>
      </c>
      <c r="Q71" s="1898">
        <f ca="1">C76</f>
        <v>0.1</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96</v>
      </c>
      <c r="D75" s="1843"/>
      <c r="E75" s="1843"/>
      <c r="F75" s="1843"/>
      <c r="K75" s="1869"/>
      <c r="L75" s="1843"/>
      <c r="O75" s="1885" t="s">
        <v>1046</v>
      </c>
      <c r="P75" s="1886" t="s">
        <v>1548</v>
      </c>
      <c r="Q75" s="1887">
        <f ca="1">Q65+Q66</f>
        <v>6096</v>
      </c>
      <c r="R75" s="1887" t="s">
        <v>1047</v>
      </c>
    </row>
    <row r="76" spans="1:18">
      <c r="B76" s="388" t="s">
        <v>1506</v>
      </c>
      <c r="C76" s="389">
        <f ca="1">INDIRECT("'数据-取费表'!j"&amp;$G$1)</f>
        <v>0.1</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0.72</v>
      </c>
    </row>
    <row r="80" spans="1:18">
      <c r="B80" s="386" t="s">
        <v>1510</v>
      </c>
      <c r="C80" s="318">
        <f ca="1">ROUND(C75/C39,3)</f>
        <v>0.28000000000000003</v>
      </c>
    </row>
    <row r="81" spans="2:8">
      <c r="B81" s="314" t="s">
        <v>1511</v>
      </c>
      <c r="C81" s="282"/>
      <c r="H81" s="302">
        <f ca="1">C13/C40</f>
        <v>0.15731627296587927</v>
      </c>
    </row>
    <row r="82" spans="2:8">
      <c r="B82" s="317" t="s">
        <v>1512</v>
      </c>
      <c r="C82" s="319">
        <f ca="1">1-C83</f>
        <v>0.84299999999999997</v>
      </c>
      <c r="H82" s="302">
        <f ca="1">H81*6397</f>
        <v>1006.3521981627297</v>
      </c>
    </row>
    <row r="83" spans="2:8">
      <c r="B83" s="317" t="s">
        <v>1513</v>
      </c>
      <c r="C83" s="318">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2521</v>
      </c>
      <c r="B1" s="2565"/>
      <c r="C1" s="2565"/>
      <c r="D1" s="2565"/>
      <c r="E1" s="2566"/>
    </row>
    <row r="2" spans="1:6" ht="15.75">
      <c r="A2" s="2567" t="s">
        <v>2322</v>
      </c>
      <c r="B2" s="2568">
        <f ca="1">SUMIF(B6:B13,"&lt;&gt;#ref!",B6:B13)</f>
        <v>6096</v>
      </c>
      <c r="C2" s="2569" t="s">
        <v>2514</v>
      </c>
      <c r="D2" s="2570" t="s">
        <v>2515</v>
      </c>
      <c r="E2" s="2571">
        <f>SUM(E6:E13)</f>
        <v>2496.59</v>
      </c>
    </row>
    <row r="3" spans="1:6" ht="15.75">
      <c r="A3" s="2567" t="s">
        <v>1395</v>
      </c>
      <c r="B3" s="2568">
        <f ca="1">ROUND(B2*10000/E2,0)</f>
        <v>24417</v>
      </c>
      <c r="C3" s="2569" t="s">
        <v>2522</v>
      </c>
      <c r="D3" s="2572"/>
      <c r="E3" s="2573"/>
    </row>
    <row r="4" spans="1:6" ht="15.75">
      <c r="A4" s="2574"/>
      <c r="B4" s="2572"/>
      <c r="C4" s="2572"/>
      <c r="D4" s="2572"/>
      <c r="E4" s="2573"/>
    </row>
    <row r="5" spans="1:6" ht="15">
      <c r="A5" s="2575" t="s">
        <v>2516</v>
      </c>
      <c r="B5" s="3373" t="s">
        <v>2517</v>
      </c>
      <c r="C5" s="3373"/>
      <c r="D5" s="2576"/>
      <c r="E5" s="2577" t="s">
        <v>2518</v>
      </c>
      <c r="F5" s="2578" t="s">
        <v>2519</v>
      </c>
    </row>
    <row r="6" spans="1:6">
      <c r="A6" s="2579" t="str">
        <f>'数据-取费表'!AN6</f>
        <v>收益法未出租</v>
      </c>
      <c r="B6" s="2578">
        <f ca="1">IF(F6="是",'数据-取费表'!AO6,0)</f>
        <v>6096</v>
      </c>
      <c r="C6" s="2569" t="s">
        <v>2514</v>
      </c>
      <c r="D6" s="2572"/>
      <c r="E6" s="2580">
        <f>IF(OR(A6=0,F6="否"),0,'数据-取费表'!K6+'数据-取费表'!S6)</f>
        <v>2496.59</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topLeftCell="A7" zoomScale="90" zoomScaleNormal="90" workbookViewId="0">
      <selection activeCell="D25" sqref="D25:K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3117</v>
      </c>
      <c r="G1" s="1632" t="s">
        <v>2527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1394</v>
      </c>
      <c r="B2" s="1419">
        <f>IF(C2="——",ROUND(C49*D3/10000,0),ROUND(C49*D3/10000,0)-D2)</f>
        <v>0</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1395</v>
      </c>
      <c r="B3" s="609">
        <f>IF(C2="——",C49,ROUND(B2*10000/D3,0))</f>
        <v>9.3000000000000007</v>
      </c>
      <c r="C3" s="400" t="s">
        <v>2529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2530</v>
      </c>
      <c r="B4" s="402"/>
      <c r="C4" s="3259" t="s">
        <v>2531</v>
      </c>
      <c r="D4" s="3260"/>
      <c r="E4" s="3261" t="s">
        <v>2532</v>
      </c>
      <c r="F4" s="3262"/>
      <c r="G4" s="3259" t="s">
        <v>2533</v>
      </c>
      <c r="H4" s="3260"/>
      <c r="I4" s="3259" t="s">
        <v>2534</v>
      </c>
      <c r="J4" s="3260"/>
      <c r="K4" s="610" t="s">
        <v>2535</v>
      </c>
      <c r="L4" s="1131"/>
      <c r="M4" s="1132"/>
      <c r="N4" s="1132"/>
      <c r="O4" s="1132"/>
      <c r="P4" s="3263" t="s">
        <v>2536</v>
      </c>
      <c r="Q4" s="3264"/>
      <c r="R4" s="3244" t="s">
        <v>2532</v>
      </c>
      <c r="S4" s="3245"/>
      <c r="T4" s="3244" t="s">
        <v>2533</v>
      </c>
      <c r="U4" s="3245"/>
      <c r="V4" s="3241" t="s">
        <v>2534</v>
      </c>
      <c r="W4" s="3241"/>
      <c r="X4" s="2960"/>
      <c r="Y4" s="3244" t="s">
        <v>2536</v>
      </c>
      <c r="Z4" s="3245"/>
      <c r="AA4" s="3238" t="s">
        <v>2532</v>
      </c>
      <c r="AB4" s="3241" t="s">
        <v>2533</v>
      </c>
      <c r="AC4" s="3238" t="s">
        <v>2534</v>
      </c>
    </row>
    <row r="5" spans="1:29" ht="15">
      <c r="A5" s="404"/>
      <c r="B5" s="405"/>
      <c r="C5" s="3250" t="s">
        <v>2537</v>
      </c>
      <c r="D5" s="3251"/>
      <c r="E5" s="3248" t="s">
        <v>3118</v>
      </c>
      <c r="F5" s="3249"/>
      <c r="G5" s="3254" t="s">
        <v>3119</v>
      </c>
      <c r="H5" s="3251"/>
      <c r="I5" s="3254" t="s">
        <v>3120</v>
      </c>
      <c r="J5" s="3251"/>
      <c r="K5" s="610"/>
      <c r="L5" s="1131"/>
      <c r="M5" s="1132"/>
      <c r="N5" s="1132"/>
      <c r="O5" s="1132"/>
      <c r="P5" s="3265"/>
      <c r="Q5" s="3266"/>
      <c r="R5" s="3246"/>
      <c r="S5" s="3247"/>
      <c r="T5" s="3246"/>
      <c r="U5" s="3247"/>
      <c r="V5" s="3241"/>
      <c r="W5" s="3241"/>
      <c r="X5" s="2960"/>
      <c r="Y5" s="3246"/>
      <c r="Z5" s="3247"/>
      <c r="AA5" s="3239"/>
      <c r="AB5" s="3241"/>
      <c r="AC5" s="3239"/>
    </row>
    <row r="6" spans="1:29" ht="15.75" thickBot="1">
      <c r="A6" s="406"/>
      <c r="B6" s="407"/>
      <c r="C6" s="3252" t="s">
        <v>2541</v>
      </c>
      <c r="D6" s="3253"/>
      <c r="E6" s="3313" t="s">
        <v>2541</v>
      </c>
      <c r="F6" s="3256"/>
      <c r="G6" s="3252" t="s">
        <v>2541</v>
      </c>
      <c r="H6" s="3253"/>
      <c r="I6" s="3252" t="s">
        <v>2541</v>
      </c>
      <c r="J6" s="3253"/>
      <c r="K6" s="610" t="s">
        <v>2542</v>
      </c>
      <c r="L6" s="1131"/>
      <c r="M6" s="1132"/>
      <c r="N6" s="1132"/>
      <c r="O6" s="1132"/>
      <c r="P6" s="3267"/>
      <c r="Q6" s="3268"/>
      <c r="R6" s="3246"/>
      <c r="S6" s="3247"/>
      <c r="T6" s="3269"/>
      <c r="U6" s="3270"/>
      <c r="V6" s="3241"/>
      <c r="W6" s="3241"/>
      <c r="X6" s="2960"/>
      <c r="Y6" s="3269"/>
      <c r="Z6" s="3270"/>
      <c r="AA6" s="3240"/>
      <c r="AB6" s="3241"/>
      <c r="AC6" s="3240"/>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42" t="s">
        <v>2544</v>
      </c>
      <c r="Q7" s="3271"/>
      <c r="R7" s="768" t="s">
        <v>17</v>
      </c>
      <c r="S7" s="769">
        <f t="shared" ref="S7:S15" si="0">F7</f>
        <v>100</v>
      </c>
      <c r="T7" s="768" t="s">
        <v>17</v>
      </c>
      <c r="U7" s="769">
        <f t="shared" ref="U7:U15" si="1">H7</f>
        <v>100</v>
      </c>
      <c r="V7" s="768" t="s">
        <v>17</v>
      </c>
      <c r="W7" s="769">
        <f t="shared" ref="W7:W15" si="2">J7</f>
        <v>100</v>
      </c>
      <c r="X7" s="770"/>
      <c r="Y7" s="3242" t="s">
        <v>2544</v>
      </c>
      <c r="Z7" s="3243"/>
      <c r="AA7" s="771">
        <f>D7/F7</f>
        <v>1</v>
      </c>
      <c r="AB7" s="771">
        <f>D7/H7</f>
        <v>1</v>
      </c>
      <c r="AC7" s="771">
        <f>D7/J7</f>
        <v>1</v>
      </c>
    </row>
    <row r="8" spans="1:29" s="117" customFormat="1" ht="15.75" thickBot="1">
      <c r="A8" s="408" t="s">
        <v>2545</v>
      </c>
      <c r="B8" s="409"/>
      <c r="C8" s="414" t="s">
        <v>2582</v>
      </c>
      <c r="D8" s="411">
        <v>100</v>
      </c>
      <c r="E8" s="414" t="s">
        <v>3079</v>
      </c>
      <c r="F8" s="413">
        <f>SUMIF(61:61,E8,62:62)-SUMIF(61:61,C8,62:62)+100</f>
        <v>100</v>
      </c>
      <c r="G8" s="414" t="s">
        <v>3079</v>
      </c>
      <c r="H8" s="411">
        <f>SUMIF(61:61,G8,62:62)-SUMIF(61:61,C8,62:62)+100</f>
        <v>100</v>
      </c>
      <c r="I8" s="414" t="s">
        <v>3079</v>
      </c>
      <c r="J8" s="411">
        <f>SUMIF(61:61,I8,62:62)-SUMIF(61:61,C8,62:62)+100</f>
        <v>100</v>
      </c>
      <c r="K8" s="611"/>
      <c r="L8" s="1133"/>
      <c r="M8" s="1134"/>
      <c r="N8" s="1134"/>
      <c r="O8" s="1134"/>
      <c r="P8" s="3242" t="s">
        <v>2547</v>
      </c>
      <c r="Q8" s="3243"/>
      <c r="R8" s="768" t="s">
        <v>17</v>
      </c>
      <c r="S8" s="769">
        <f t="shared" si="0"/>
        <v>100</v>
      </c>
      <c r="T8" s="768" t="s">
        <v>17</v>
      </c>
      <c r="U8" s="769">
        <f t="shared" si="1"/>
        <v>100</v>
      </c>
      <c r="V8" s="768" t="s">
        <v>17</v>
      </c>
      <c r="W8" s="769">
        <f t="shared" si="2"/>
        <v>100</v>
      </c>
      <c r="X8" s="770"/>
      <c r="Y8" s="3242" t="s">
        <v>2547</v>
      </c>
      <c r="Z8" s="3243"/>
      <c r="AA8" s="771">
        <f t="shared" ref="AA8:AA46" si="3">D8/F8</f>
        <v>1</v>
      </c>
      <c r="AB8" s="771">
        <f t="shared" ref="AB8:AB46" si="4">D8/H8</f>
        <v>1</v>
      </c>
      <c r="AC8" s="771">
        <f t="shared" ref="AC8:AC46" si="5">D8/J8</f>
        <v>1</v>
      </c>
    </row>
    <row r="9" spans="1:29" s="117" customFormat="1">
      <c r="A9" s="415" t="s">
        <v>2548</v>
      </c>
      <c r="B9" s="71" t="s">
        <v>2549</v>
      </c>
      <c r="C9" s="2968" t="s">
        <v>3078</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58" t="s">
        <v>2550</v>
      </c>
      <c r="Q9" s="2945" t="str">
        <f t="shared" ref="Q9:Q15" si="6">B9</f>
        <v>用途</v>
      </c>
      <c r="R9" s="768" t="s">
        <v>17</v>
      </c>
      <c r="S9" s="769">
        <f t="shared" si="0"/>
        <v>100</v>
      </c>
      <c r="T9" s="768" t="s">
        <v>17</v>
      </c>
      <c r="U9" s="769">
        <f t="shared" si="1"/>
        <v>100</v>
      </c>
      <c r="V9" s="768" t="s">
        <v>17</v>
      </c>
      <c r="W9" s="769">
        <f t="shared" si="2"/>
        <v>100</v>
      </c>
      <c r="X9" s="770"/>
      <c r="Y9" s="3115" t="s">
        <v>2551</v>
      </c>
      <c r="Z9" s="2946" t="str">
        <f t="shared" ref="Z9:Z15" si="7">Q9</f>
        <v>用途</v>
      </c>
      <c r="AA9" s="771">
        <f t="shared" si="3"/>
        <v>1</v>
      </c>
      <c r="AB9" s="771">
        <f t="shared" si="4"/>
        <v>1</v>
      </c>
      <c r="AC9" s="771">
        <f t="shared" si="5"/>
        <v>1</v>
      </c>
    </row>
    <row r="10" spans="1:29" s="427" customFormat="1" ht="27">
      <c r="A10" s="421"/>
      <c r="B10" s="2951" t="s">
        <v>2552</v>
      </c>
      <c r="C10" s="423" t="s">
        <v>3080</v>
      </c>
      <c r="D10" s="136">
        <v>100</v>
      </c>
      <c r="E10" s="424" t="s">
        <v>3081</v>
      </c>
      <c r="F10" s="425">
        <f>SUMIF(65:65,E10,66:66)-SUMIF(65:65,C10,66:66)+100</f>
        <v>102</v>
      </c>
      <c r="G10" s="423" t="s">
        <v>3081</v>
      </c>
      <c r="H10" s="136">
        <f>SUMIF(65:65,G10,66:66)-SUMIF(65:65,C10,66:66)+100</f>
        <v>102</v>
      </c>
      <c r="I10" s="423" t="s">
        <v>3081</v>
      </c>
      <c r="J10" s="136">
        <f>SUMIF(65:65,I10,66:66)-SUMIF(65:65,C10,66:66)+100</f>
        <v>102</v>
      </c>
      <c r="K10" s="612">
        <v>2</v>
      </c>
      <c r="L10" s="1136"/>
      <c r="M10" s="1137"/>
      <c r="N10" s="1137"/>
      <c r="O10" s="1137"/>
      <c r="P10" s="3258"/>
      <c r="Q10" s="2945" t="str">
        <f t="shared" si="6"/>
        <v>土地使用年限（年）</v>
      </c>
      <c r="R10" s="768" t="s">
        <v>17</v>
      </c>
      <c r="S10" s="769">
        <f t="shared" si="0"/>
        <v>102</v>
      </c>
      <c r="T10" s="768" t="s">
        <v>17</v>
      </c>
      <c r="U10" s="769">
        <f t="shared" si="1"/>
        <v>102</v>
      </c>
      <c r="V10" s="768" t="s">
        <v>17</v>
      </c>
      <c r="W10" s="769">
        <f t="shared" si="2"/>
        <v>102</v>
      </c>
      <c r="X10" s="770"/>
      <c r="Y10" s="3115"/>
      <c r="Z10" s="2946" t="str">
        <f t="shared" si="7"/>
        <v>土地使用年限（年）</v>
      </c>
      <c r="AA10" s="771">
        <f t="shared" si="3"/>
        <v>0.98039215686274506</v>
      </c>
      <c r="AB10" s="771">
        <f t="shared" si="4"/>
        <v>0.98039215686274506</v>
      </c>
      <c r="AC10" s="771">
        <f t="shared" si="5"/>
        <v>0.98039215686274506</v>
      </c>
    </row>
    <row r="11" spans="1:29" ht="15">
      <c r="A11" s="428"/>
      <c r="B11" s="2951"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58"/>
      <c r="Q11" s="2945" t="str">
        <f t="shared" si="6"/>
        <v>容积率</v>
      </c>
      <c r="R11" s="768" t="s">
        <v>17</v>
      </c>
      <c r="S11" s="769">
        <f t="shared" si="0"/>
        <v>100</v>
      </c>
      <c r="T11" s="768" t="s">
        <v>17</v>
      </c>
      <c r="U11" s="769">
        <f t="shared" si="1"/>
        <v>100</v>
      </c>
      <c r="V11" s="768" t="s">
        <v>17</v>
      </c>
      <c r="W11" s="769">
        <f t="shared" si="2"/>
        <v>100</v>
      </c>
      <c r="X11" s="770"/>
      <c r="Y11" s="3115"/>
      <c r="Z11" s="2946"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58"/>
      <c r="Q12" s="2945">
        <f t="shared" si="6"/>
        <v>111</v>
      </c>
      <c r="R12" s="768" t="s">
        <v>17</v>
      </c>
      <c r="S12" s="769">
        <f t="shared" si="0"/>
        <v>100</v>
      </c>
      <c r="T12" s="768" t="s">
        <v>17</v>
      </c>
      <c r="U12" s="769">
        <f t="shared" si="1"/>
        <v>100</v>
      </c>
      <c r="V12" s="768" t="s">
        <v>17</v>
      </c>
      <c r="W12" s="769">
        <f t="shared" si="2"/>
        <v>100</v>
      </c>
      <c r="X12" s="770"/>
      <c r="Y12" s="3115"/>
      <c r="Z12" s="2946">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58"/>
      <c r="Q13" s="2945">
        <f t="shared" si="6"/>
        <v>111</v>
      </c>
      <c r="R13" s="768" t="s">
        <v>17</v>
      </c>
      <c r="S13" s="769">
        <f t="shared" si="0"/>
        <v>100</v>
      </c>
      <c r="T13" s="768" t="s">
        <v>17</v>
      </c>
      <c r="U13" s="769">
        <f t="shared" si="1"/>
        <v>100</v>
      </c>
      <c r="V13" s="768" t="s">
        <v>17</v>
      </c>
      <c r="W13" s="769">
        <f t="shared" si="2"/>
        <v>100</v>
      </c>
      <c r="X13" s="770"/>
      <c r="Y13" s="3115"/>
      <c r="Z13" s="2946">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58"/>
      <c r="Q14" s="2945">
        <f t="shared" si="6"/>
        <v>111</v>
      </c>
      <c r="R14" s="768" t="s">
        <v>17</v>
      </c>
      <c r="S14" s="769">
        <f t="shared" si="0"/>
        <v>100</v>
      </c>
      <c r="T14" s="768" t="s">
        <v>17</v>
      </c>
      <c r="U14" s="769">
        <f t="shared" si="1"/>
        <v>100</v>
      </c>
      <c r="V14" s="768" t="s">
        <v>17</v>
      </c>
      <c r="W14" s="769">
        <f t="shared" si="2"/>
        <v>100</v>
      </c>
      <c r="X14" s="770"/>
      <c r="Y14" s="3115"/>
      <c r="Z14" s="2946">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100</v>
      </c>
      <c r="G15" s="444"/>
      <c r="H15" s="441">
        <f>SUMIF(76:76,G16,77:77)-SUMIF(76:76,C16,77:77)+100</f>
        <v>103</v>
      </c>
      <c r="I15" s="442"/>
      <c r="J15" s="441">
        <f>SUMIF(76:76,I16,77:77)-SUMIF(76:76,C16,77:77)+100</f>
        <v>103</v>
      </c>
      <c r="K15" s="614">
        <v>3</v>
      </c>
      <c r="L15" s="1141"/>
      <c r="M15" s="1132"/>
      <c r="N15" s="1132"/>
      <c r="O15" s="1132"/>
      <c r="P15" s="3272" t="s">
        <v>2555</v>
      </c>
      <c r="Q15" s="2958" t="str">
        <f t="shared" si="6"/>
        <v>商业繁华度</v>
      </c>
      <c r="R15" s="772" t="s">
        <v>17</v>
      </c>
      <c r="S15" s="773">
        <f t="shared" si="0"/>
        <v>100</v>
      </c>
      <c r="T15" s="772" t="s">
        <v>17</v>
      </c>
      <c r="U15" s="773">
        <f t="shared" si="1"/>
        <v>103</v>
      </c>
      <c r="V15" s="772" t="s">
        <v>17</v>
      </c>
      <c r="W15" s="773">
        <f t="shared" si="2"/>
        <v>103</v>
      </c>
      <c r="X15" s="2960"/>
      <c r="Y15" s="3274" t="s">
        <v>2555</v>
      </c>
      <c r="Z15" s="2961" t="str">
        <f t="shared" si="7"/>
        <v>商业繁华度</v>
      </c>
      <c r="AA15" s="2959">
        <f t="shared" si="3"/>
        <v>1</v>
      </c>
      <c r="AB15" s="2959">
        <f t="shared" si="4"/>
        <v>0.970873786407767</v>
      </c>
      <c r="AC15" s="2959">
        <f t="shared" si="5"/>
        <v>0.970873786407767</v>
      </c>
    </row>
    <row r="16" spans="1:29" ht="15">
      <c r="A16" s="428"/>
      <c r="B16" s="446"/>
      <c r="C16" s="447" t="s">
        <v>3124</v>
      </c>
      <c r="D16" s="448"/>
      <c r="E16" s="447" t="s">
        <v>3124</v>
      </c>
      <c r="F16" s="449"/>
      <c r="G16" s="447" t="s">
        <v>3126</v>
      </c>
      <c r="H16" s="450"/>
      <c r="I16" s="447" t="s">
        <v>3126</v>
      </c>
      <c r="J16" s="448"/>
      <c r="K16" s="615"/>
      <c r="L16" s="1141"/>
      <c r="M16" s="1132"/>
      <c r="N16" s="1132"/>
      <c r="O16" s="1132"/>
      <c r="P16" s="3273"/>
      <c r="Q16" s="2958"/>
      <c r="R16" s="772"/>
      <c r="S16" s="773"/>
      <c r="T16" s="772"/>
      <c r="U16" s="773"/>
      <c r="V16" s="772"/>
      <c r="W16" s="773"/>
      <c r="X16" s="2960"/>
      <c r="Y16" s="3275"/>
      <c r="Z16" s="2961"/>
      <c r="AA16" s="2959">
        <v>1</v>
      </c>
      <c r="AB16" s="2959">
        <v>1</v>
      </c>
      <c r="AC16" s="2959">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73"/>
      <c r="Q17" s="2958" t="str">
        <f>B17</f>
        <v>交通便捷度</v>
      </c>
      <c r="R17" s="772" t="s">
        <v>17</v>
      </c>
      <c r="S17" s="773">
        <f>F17</f>
        <v>100</v>
      </c>
      <c r="T17" s="772" t="s">
        <v>17</v>
      </c>
      <c r="U17" s="773">
        <f>H17</f>
        <v>100</v>
      </c>
      <c r="V17" s="772" t="s">
        <v>17</v>
      </c>
      <c r="W17" s="773">
        <f>J17</f>
        <v>100</v>
      </c>
      <c r="X17" s="2960"/>
      <c r="Y17" s="3275"/>
      <c r="Z17" s="2961" t="str">
        <f>Q17</f>
        <v>交通便捷度</v>
      </c>
      <c r="AA17" s="2959">
        <f t="shared" si="3"/>
        <v>1</v>
      </c>
      <c r="AB17" s="2959">
        <f t="shared" si="4"/>
        <v>1</v>
      </c>
      <c r="AC17" s="2959">
        <f t="shared" si="5"/>
        <v>1</v>
      </c>
    </row>
    <row r="18" spans="1:29" ht="15">
      <c r="A18" s="428"/>
      <c r="B18" s="456"/>
      <c r="C18" s="2611" t="s">
        <v>3124</v>
      </c>
      <c r="D18" s="450"/>
      <c r="E18" s="2613" t="s">
        <v>3124</v>
      </c>
      <c r="F18" s="453"/>
      <c r="G18" s="2612" t="s">
        <v>3124</v>
      </c>
      <c r="H18" s="448"/>
      <c r="I18" s="2613" t="s">
        <v>3124</v>
      </c>
      <c r="J18" s="448"/>
      <c r="K18" s="615"/>
      <c r="L18" s="1141"/>
      <c r="M18" s="1132"/>
      <c r="N18" s="1132"/>
      <c r="O18" s="1132"/>
      <c r="P18" s="3273"/>
      <c r="Q18" s="2958"/>
      <c r="R18" s="772"/>
      <c r="S18" s="773"/>
      <c r="T18" s="772"/>
      <c r="U18" s="773"/>
      <c r="V18" s="772"/>
      <c r="W18" s="773"/>
      <c r="X18" s="2960"/>
      <c r="Y18" s="3275"/>
      <c r="Z18" s="2961"/>
      <c r="AA18" s="2959">
        <v>1</v>
      </c>
      <c r="AB18" s="2959">
        <v>1</v>
      </c>
      <c r="AC18" s="2959">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73"/>
      <c r="Q19" s="2958" t="str">
        <f>B19</f>
        <v>公共配套设施</v>
      </c>
      <c r="R19" s="772" t="s">
        <v>17</v>
      </c>
      <c r="S19" s="773">
        <f>F19</f>
        <v>100</v>
      </c>
      <c r="T19" s="772" t="s">
        <v>17</v>
      </c>
      <c r="U19" s="773">
        <f>H19</f>
        <v>100</v>
      </c>
      <c r="V19" s="772" t="s">
        <v>17</v>
      </c>
      <c r="W19" s="773">
        <f>J19</f>
        <v>100</v>
      </c>
      <c r="X19" s="2960"/>
      <c r="Y19" s="3275"/>
      <c r="Z19" s="2961" t="str">
        <f>Q19</f>
        <v>公共配套设施</v>
      </c>
      <c r="AA19" s="2959">
        <f t="shared" si="3"/>
        <v>1</v>
      </c>
      <c r="AB19" s="2959">
        <f t="shared" si="4"/>
        <v>1</v>
      </c>
      <c r="AC19" s="2959">
        <f t="shared" si="5"/>
        <v>1</v>
      </c>
    </row>
    <row r="20" spans="1:29" ht="15">
      <c r="A20" s="428"/>
      <c r="B20" s="456"/>
      <c r="C20" s="447" t="s">
        <v>3124</v>
      </c>
      <c r="D20" s="448"/>
      <c r="E20" s="2608" t="s">
        <v>3124</v>
      </c>
      <c r="F20" s="449"/>
      <c r="G20" s="2607" t="s">
        <v>3124</v>
      </c>
      <c r="H20" s="448"/>
      <c r="I20" s="2608" t="s">
        <v>3124</v>
      </c>
      <c r="J20" s="448"/>
      <c r="K20" s="615"/>
      <c r="L20" s="1141"/>
      <c r="M20" s="1132"/>
      <c r="N20" s="1132"/>
      <c r="O20" s="1132"/>
      <c r="P20" s="3273"/>
      <c r="Q20" s="2958"/>
      <c r="R20" s="772"/>
      <c r="S20" s="773"/>
      <c r="T20" s="772"/>
      <c r="U20" s="773"/>
      <c r="V20" s="772"/>
      <c r="W20" s="773"/>
      <c r="X20" s="2960"/>
      <c r="Y20" s="3275"/>
      <c r="Z20" s="2961"/>
      <c r="AA20" s="2959">
        <v>1</v>
      </c>
      <c r="AB20" s="2959">
        <v>1</v>
      </c>
      <c r="AC20" s="2959">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73"/>
      <c r="Q21" s="2958" t="str">
        <f>B21</f>
        <v>基础设施水平</v>
      </c>
      <c r="R21" s="772" t="s">
        <v>17</v>
      </c>
      <c r="S21" s="773">
        <f>F21</f>
        <v>100</v>
      </c>
      <c r="T21" s="772" t="s">
        <v>17</v>
      </c>
      <c r="U21" s="773">
        <f>H21</f>
        <v>100</v>
      </c>
      <c r="V21" s="772" t="s">
        <v>17</v>
      </c>
      <c r="W21" s="773">
        <f>J21</f>
        <v>100</v>
      </c>
      <c r="X21" s="2960"/>
      <c r="Y21" s="3275"/>
      <c r="Z21" s="2961" t="str">
        <f>Q21</f>
        <v>基础设施水平</v>
      </c>
      <c r="AA21" s="2959">
        <f t="shared" ref="AA21" si="8">D21/F21</f>
        <v>1</v>
      </c>
      <c r="AB21" s="2959">
        <f t="shared" ref="AB21" si="9">D21/H21</f>
        <v>1</v>
      </c>
      <c r="AC21" s="2959">
        <f t="shared" ref="AC21" si="10">D21/J21</f>
        <v>1</v>
      </c>
    </row>
    <row r="22" spans="1:29" ht="15">
      <c r="A22" s="428"/>
      <c r="B22" s="1385"/>
      <c r="C22" s="2611" t="s">
        <v>3140</v>
      </c>
      <c r="D22" s="448"/>
      <c r="E22" s="447" t="s">
        <v>3140</v>
      </c>
      <c r="F22" s="449"/>
      <c r="G22" s="447" t="s">
        <v>3140</v>
      </c>
      <c r="H22" s="448"/>
      <c r="I22" s="447" t="s">
        <v>3140</v>
      </c>
      <c r="J22" s="448"/>
      <c r="K22" s="1384"/>
      <c r="L22" s="1141"/>
      <c r="M22" s="1132"/>
      <c r="N22" s="1132"/>
      <c r="O22" s="1132"/>
      <c r="P22" s="3273"/>
      <c r="Q22" s="2958"/>
      <c r="R22" s="772"/>
      <c r="S22" s="773"/>
      <c r="T22" s="772"/>
      <c r="U22" s="773"/>
      <c r="V22" s="772"/>
      <c r="W22" s="773"/>
      <c r="X22" s="2960"/>
      <c r="Y22" s="3275"/>
      <c r="Z22" s="2961"/>
      <c r="AA22" s="2959">
        <v>1</v>
      </c>
      <c r="AB22" s="2959">
        <v>1</v>
      </c>
      <c r="AC22" s="2959">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73"/>
      <c r="Q23" s="2958" t="str">
        <f>B23</f>
        <v>自然及人文环境</v>
      </c>
      <c r="R23" s="772" t="s">
        <v>17</v>
      </c>
      <c r="S23" s="773">
        <f>F23</f>
        <v>100</v>
      </c>
      <c r="T23" s="772" t="s">
        <v>17</v>
      </c>
      <c r="U23" s="773">
        <f>H23</f>
        <v>100</v>
      </c>
      <c r="V23" s="772" t="s">
        <v>17</v>
      </c>
      <c r="W23" s="773">
        <f>J23</f>
        <v>100</v>
      </c>
      <c r="X23" s="2960"/>
      <c r="Y23" s="3275"/>
      <c r="Z23" s="2961" t="str">
        <f>Q23</f>
        <v>自然及人文环境</v>
      </c>
      <c r="AA23" s="2959">
        <f t="shared" si="3"/>
        <v>1</v>
      </c>
      <c r="AB23" s="2959">
        <f t="shared" si="4"/>
        <v>1</v>
      </c>
      <c r="AC23" s="2959">
        <f t="shared" si="5"/>
        <v>1</v>
      </c>
    </row>
    <row r="24" spans="1:29" ht="15">
      <c r="A24" s="428"/>
      <c r="B24" s="456"/>
      <c r="C24" s="447" t="s">
        <v>3124</v>
      </c>
      <c r="D24" s="448"/>
      <c r="E24" s="2608" t="s">
        <v>3124</v>
      </c>
      <c r="F24" s="449"/>
      <c r="G24" s="2607" t="s">
        <v>3124</v>
      </c>
      <c r="H24" s="448"/>
      <c r="I24" s="2608" t="s">
        <v>3124</v>
      </c>
      <c r="J24" s="448"/>
      <c r="K24" s="615"/>
      <c r="L24" s="1141"/>
      <c r="M24" s="1132"/>
      <c r="N24" s="1132"/>
      <c r="O24" s="1132"/>
      <c r="P24" s="3273"/>
      <c r="Q24" s="2958"/>
      <c r="R24" s="772"/>
      <c r="S24" s="773"/>
      <c r="T24" s="772"/>
      <c r="U24" s="773"/>
      <c r="V24" s="772"/>
      <c r="W24" s="773"/>
      <c r="X24" s="2960"/>
      <c r="Y24" s="3275"/>
      <c r="Z24" s="2961"/>
      <c r="AA24" s="2959">
        <v>1</v>
      </c>
      <c r="AB24" s="2959">
        <v>1</v>
      </c>
      <c r="AC24" s="2959">
        <v>1</v>
      </c>
    </row>
    <row r="25" spans="1:29" ht="15">
      <c r="A25" s="428"/>
      <c r="B25" s="3028" t="s">
        <v>2651</v>
      </c>
      <c r="C25" s="616" t="s">
        <v>3075</v>
      </c>
      <c r="D25" s="435">
        <v>100</v>
      </c>
      <c r="E25" s="616" t="s">
        <v>3123</v>
      </c>
      <c r="F25" s="461">
        <f>SUMIF(86:86,E25,87:87)-SUMIF(86:86,C25,87:87)+100</f>
        <v>97</v>
      </c>
      <c r="G25" s="616" t="s">
        <v>3123</v>
      </c>
      <c r="H25" s="435">
        <f>SUMIF(86:86,G25,87:87)-SUMIF(86:86,C25,87:87)+100</f>
        <v>97</v>
      </c>
      <c r="I25" s="616" t="s">
        <v>3075</v>
      </c>
      <c r="J25" s="435">
        <f>SUMIF(86:86,I25,87:87)-SUMIF(86:86,C25,87:87)+100</f>
        <v>100</v>
      </c>
      <c r="K25" s="612">
        <v>3</v>
      </c>
      <c r="L25" s="1141"/>
      <c r="M25" s="1132"/>
      <c r="N25" s="1132"/>
      <c r="O25" s="1132"/>
      <c r="P25" s="3273"/>
      <c r="Q25" s="2958" t="str">
        <f t="shared" ref="Q25:Q46" si="11">B25</f>
        <v>临街状况</v>
      </c>
      <c r="R25" s="772" t="s">
        <v>17</v>
      </c>
      <c r="S25" s="773">
        <f>F25</f>
        <v>97</v>
      </c>
      <c r="T25" s="772" t="s">
        <v>17</v>
      </c>
      <c r="U25" s="773">
        <f>H25</f>
        <v>97</v>
      </c>
      <c r="V25" s="772" t="s">
        <v>17</v>
      </c>
      <c r="W25" s="773">
        <f>J25</f>
        <v>100</v>
      </c>
      <c r="X25" s="2960"/>
      <c r="Y25" s="3275"/>
      <c r="Z25" s="2961" t="str">
        <f>Q25</f>
        <v>临街状况</v>
      </c>
      <c r="AA25" s="2959">
        <f t="shared" si="3"/>
        <v>1.0309278350515463</v>
      </c>
      <c r="AB25" s="2959">
        <f t="shared" si="4"/>
        <v>1.0309278350515463</v>
      </c>
      <c r="AC25" s="2959">
        <f t="shared" si="5"/>
        <v>1</v>
      </c>
    </row>
    <row r="26" spans="1:29" ht="15">
      <c r="A26" s="428"/>
      <c r="B26" s="1387" t="s">
        <v>2652</v>
      </c>
      <c r="C26" s="2973" t="s">
        <v>3125</v>
      </c>
      <c r="D26" s="435">
        <v>100</v>
      </c>
      <c r="E26" s="2973" t="s">
        <v>3125</v>
      </c>
      <c r="F26" s="461">
        <f>SUMIF(88:88,E26,89:89)-SUMIF(88:88,C26,89:89)+100</f>
        <v>100</v>
      </c>
      <c r="G26" s="2973" t="s">
        <v>3125</v>
      </c>
      <c r="H26" s="435">
        <f>SUMIF(88:88,G26,89:89)-SUMIF(88:88,C26,89:89)+100</f>
        <v>100</v>
      </c>
      <c r="I26" s="2973" t="s">
        <v>3127</v>
      </c>
      <c r="J26" s="435">
        <f>SUMIF(88:88,I26,89:89)-SUMIF(88:88,C26,89:89)+100</f>
        <v>103</v>
      </c>
      <c r="K26" s="613"/>
      <c r="L26" s="1141"/>
      <c r="M26" s="1132"/>
      <c r="N26" s="1132"/>
      <c r="O26" s="1132"/>
      <c r="P26" s="3273"/>
      <c r="Q26" s="2958" t="str">
        <f t="shared" si="11"/>
        <v>平面位置/可视性</v>
      </c>
      <c r="R26" s="772" t="s">
        <v>17</v>
      </c>
      <c r="S26" s="773">
        <f>F26</f>
        <v>100</v>
      </c>
      <c r="T26" s="772" t="s">
        <v>17</v>
      </c>
      <c r="U26" s="773">
        <f>H26</f>
        <v>100</v>
      </c>
      <c r="V26" s="772" t="s">
        <v>17</v>
      </c>
      <c r="W26" s="773">
        <f>J26</f>
        <v>103</v>
      </c>
      <c r="X26" s="2960"/>
      <c r="Y26" s="3275"/>
      <c r="Z26" s="2961" t="str">
        <f>Q26</f>
        <v>平面位置/可视性</v>
      </c>
      <c r="AA26" s="2959">
        <f t="shared" si="3"/>
        <v>1</v>
      </c>
      <c r="AB26" s="2959">
        <f t="shared" si="4"/>
        <v>1</v>
      </c>
      <c r="AC26" s="2959">
        <f t="shared" si="5"/>
        <v>0.970873786407767</v>
      </c>
    </row>
    <row r="27" spans="1:29" s="117" customFormat="1" ht="15">
      <c r="A27" s="431"/>
      <c r="B27" s="451" t="s">
        <v>2653</v>
      </c>
      <c r="C27" s="2668" t="s">
        <v>3128</v>
      </c>
      <c r="D27" s="462">
        <v>100</v>
      </c>
      <c r="E27" s="2668" t="s">
        <v>3128</v>
      </c>
      <c r="F27" s="464">
        <f>SUMIF(90:90,E27,91:91)-SUMIF(90:90,C27,91:91)+100</f>
        <v>100</v>
      </c>
      <c r="G27" s="2668" t="s">
        <v>3129</v>
      </c>
      <c r="H27" s="462">
        <f>SUMIF(90:90,G27,91:91)-SUMIF(90:90,C27,91:91)+100</f>
        <v>102</v>
      </c>
      <c r="I27" s="2668" t="s">
        <v>3129</v>
      </c>
      <c r="J27" s="462">
        <f>SUMIF(90:90,I27,91:91)-SUMIF(90:90,C27,91:91)+100</f>
        <v>102</v>
      </c>
      <c r="K27" s="612">
        <v>2</v>
      </c>
      <c r="L27" s="1133"/>
      <c r="M27" s="1134"/>
      <c r="N27" s="1134"/>
      <c r="O27" s="1134"/>
      <c r="P27" s="3273"/>
      <c r="Q27" s="2945" t="str">
        <f t="shared" si="11"/>
        <v>人流量</v>
      </c>
      <c r="R27" s="768" t="s">
        <v>17</v>
      </c>
      <c r="S27" s="769">
        <f>F27</f>
        <v>100</v>
      </c>
      <c r="T27" s="768" t="s">
        <v>17</v>
      </c>
      <c r="U27" s="769">
        <f>H27</f>
        <v>102</v>
      </c>
      <c r="V27" s="768" t="s">
        <v>17</v>
      </c>
      <c r="W27" s="769">
        <f>J27</f>
        <v>102</v>
      </c>
      <c r="X27" s="770"/>
      <c r="Y27" s="3275"/>
      <c r="Z27" s="2946" t="str">
        <f>Q27</f>
        <v>人流量</v>
      </c>
      <c r="AA27" s="2959">
        <f>D27/F27</f>
        <v>1</v>
      </c>
      <c r="AB27" s="2959">
        <f>D27/H27</f>
        <v>0.98039215686274506</v>
      </c>
      <c r="AC27" s="2959">
        <f>D27/J27</f>
        <v>0.98039215686274506</v>
      </c>
    </row>
    <row r="28" spans="1:29" ht="15">
      <c r="A28" s="428"/>
      <c r="B28" s="2951" t="s">
        <v>2654</v>
      </c>
      <c r="C28" s="616" t="s">
        <v>3130</v>
      </c>
      <c r="D28" s="435">
        <v>100</v>
      </c>
      <c r="E28" s="616" t="s">
        <v>3130</v>
      </c>
      <c r="F28" s="461">
        <f>SUMIF(92:92,E28,93:93)-SUMIF(92:92,C28,93:93)+100</f>
        <v>100</v>
      </c>
      <c r="G28" s="616" t="s">
        <v>3130</v>
      </c>
      <c r="H28" s="435">
        <f>SUMIF(92:92,G28,93:93)-SUMIF(92:92,C28,93:93)+100</f>
        <v>100</v>
      </c>
      <c r="I28" s="616" t="s">
        <v>3130</v>
      </c>
      <c r="J28" s="435">
        <f>SUMIF(92:92,I28,93:93)-SUMIF(92:92,C28,93:93)+100</f>
        <v>100</v>
      </c>
      <c r="K28" s="613"/>
      <c r="L28" s="1141"/>
      <c r="M28" s="1132"/>
      <c r="N28" s="1132"/>
      <c r="O28" s="1132"/>
      <c r="P28" s="3273"/>
      <c r="Q28" s="2958" t="str">
        <f t="shared" si="11"/>
        <v>楼层</v>
      </c>
      <c r="R28" s="772" t="s">
        <v>17</v>
      </c>
      <c r="S28" s="773">
        <f t="shared" ref="S28:S46" si="12">F28</f>
        <v>100</v>
      </c>
      <c r="T28" s="772" t="s">
        <v>17</v>
      </c>
      <c r="U28" s="773">
        <f t="shared" ref="U28:U46" si="13">H28</f>
        <v>100</v>
      </c>
      <c r="V28" s="772" t="s">
        <v>17</v>
      </c>
      <c r="W28" s="773">
        <f t="shared" ref="W28:W46" si="14">J28</f>
        <v>100</v>
      </c>
      <c r="X28" s="2960"/>
      <c r="Y28" s="3275"/>
      <c r="Z28" s="2961" t="str">
        <f t="shared" ref="Z28:Z46" si="15">Q28</f>
        <v>楼层</v>
      </c>
      <c r="AA28" s="2959">
        <f t="shared" si="3"/>
        <v>1</v>
      </c>
      <c r="AB28" s="2959">
        <f t="shared" si="4"/>
        <v>1</v>
      </c>
      <c r="AC28" s="295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73"/>
      <c r="Q29" s="2958">
        <f t="shared" si="11"/>
        <v>111</v>
      </c>
      <c r="R29" s="772" t="s">
        <v>17</v>
      </c>
      <c r="S29" s="773">
        <f t="shared" si="12"/>
        <v>100</v>
      </c>
      <c r="T29" s="772" t="s">
        <v>17</v>
      </c>
      <c r="U29" s="773">
        <f t="shared" si="13"/>
        <v>100</v>
      </c>
      <c r="V29" s="772" t="s">
        <v>17</v>
      </c>
      <c r="W29" s="773">
        <f t="shared" si="14"/>
        <v>100</v>
      </c>
      <c r="X29" s="2960"/>
      <c r="Y29" s="3275"/>
      <c r="Z29" s="2961">
        <f t="shared" si="15"/>
        <v>111</v>
      </c>
      <c r="AA29" s="2959">
        <f t="shared" si="3"/>
        <v>1</v>
      </c>
      <c r="AB29" s="2959">
        <f t="shared" si="4"/>
        <v>1</v>
      </c>
      <c r="AC29" s="295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73"/>
      <c r="Q30" s="2958">
        <f t="shared" si="11"/>
        <v>111</v>
      </c>
      <c r="R30" s="772" t="s">
        <v>17</v>
      </c>
      <c r="S30" s="773">
        <f t="shared" si="12"/>
        <v>100</v>
      </c>
      <c r="T30" s="772" t="s">
        <v>17</v>
      </c>
      <c r="U30" s="773">
        <f t="shared" si="13"/>
        <v>100</v>
      </c>
      <c r="V30" s="772" t="s">
        <v>17</v>
      </c>
      <c r="W30" s="773">
        <f t="shared" si="14"/>
        <v>100</v>
      </c>
      <c r="X30" s="2960"/>
      <c r="Y30" s="3275"/>
      <c r="Z30" s="2961">
        <f t="shared" si="15"/>
        <v>111</v>
      </c>
      <c r="AA30" s="2959">
        <f t="shared" si="3"/>
        <v>1</v>
      </c>
      <c r="AB30" s="2959">
        <f t="shared" si="4"/>
        <v>1</v>
      </c>
      <c r="AC30" s="295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73"/>
      <c r="Q31" s="2958">
        <f t="shared" si="11"/>
        <v>111</v>
      </c>
      <c r="R31" s="772" t="s">
        <v>17</v>
      </c>
      <c r="S31" s="773">
        <f t="shared" si="12"/>
        <v>100</v>
      </c>
      <c r="T31" s="772" t="s">
        <v>17</v>
      </c>
      <c r="U31" s="773">
        <f t="shared" si="13"/>
        <v>100</v>
      </c>
      <c r="V31" s="772" t="s">
        <v>17</v>
      </c>
      <c r="W31" s="773">
        <f t="shared" si="14"/>
        <v>100</v>
      </c>
      <c r="X31" s="2960"/>
      <c r="Y31" s="3275"/>
      <c r="Z31" s="2961">
        <f t="shared" si="15"/>
        <v>111</v>
      </c>
      <c r="AA31" s="2959">
        <f t="shared" si="3"/>
        <v>1</v>
      </c>
      <c r="AB31" s="2959">
        <f t="shared" si="4"/>
        <v>1</v>
      </c>
      <c r="AC31" s="2959">
        <f t="shared" si="5"/>
        <v>1</v>
      </c>
    </row>
    <row r="32" spans="1:29" ht="15">
      <c r="A32" s="440" t="s">
        <v>2558</v>
      </c>
      <c r="B32" s="71" t="s">
        <v>2655</v>
      </c>
      <c r="C32" s="2620" t="s">
        <v>3133</v>
      </c>
      <c r="D32" s="467">
        <v>100</v>
      </c>
      <c r="E32" s="2620" t="s">
        <v>3131</v>
      </c>
      <c r="F32" s="461">
        <f>SUMIF(100:100,E32,101:101)-SUMIF(100:100,C32,101:101)+100</f>
        <v>96</v>
      </c>
      <c r="G32" s="2620" t="s">
        <v>3132</v>
      </c>
      <c r="H32" s="435">
        <f>SUMIF(100:100,G32,101:101)-SUMIF(100:100,C32,101:101)+100</f>
        <v>102</v>
      </c>
      <c r="I32" s="2620" t="s">
        <v>3132</v>
      </c>
      <c r="J32" s="467">
        <f>SUMIF(100:100,I32,101:101)-SUMIF(100:100,C32,101:101)+100</f>
        <v>102</v>
      </c>
      <c r="K32" s="612">
        <v>2</v>
      </c>
      <c r="L32" s="1141"/>
      <c r="M32" s="1132"/>
      <c r="N32" s="1132"/>
      <c r="O32" s="1132"/>
      <c r="P32" s="3276" t="s">
        <v>2560</v>
      </c>
      <c r="Q32" s="2958" t="str">
        <f t="shared" si="11"/>
        <v>商业类型</v>
      </c>
      <c r="R32" s="772" t="s">
        <v>17</v>
      </c>
      <c r="S32" s="773">
        <f t="shared" si="12"/>
        <v>96</v>
      </c>
      <c r="T32" s="772" t="s">
        <v>17</v>
      </c>
      <c r="U32" s="773">
        <f t="shared" si="13"/>
        <v>102</v>
      </c>
      <c r="V32" s="772" t="s">
        <v>17</v>
      </c>
      <c r="W32" s="773">
        <f t="shared" si="14"/>
        <v>102</v>
      </c>
      <c r="X32" s="2960"/>
      <c r="Y32" s="3279" t="s">
        <v>2560</v>
      </c>
      <c r="Z32" s="2961" t="str">
        <f t="shared" si="15"/>
        <v>商业类型</v>
      </c>
      <c r="AA32" s="2959">
        <f t="shared" si="3"/>
        <v>1.0416666666666667</v>
      </c>
      <c r="AB32" s="2959">
        <f t="shared" si="4"/>
        <v>0.98039215686274506</v>
      </c>
      <c r="AC32" s="2959">
        <f t="shared" si="5"/>
        <v>0.98039215686274506</v>
      </c>
    </row>
    <row r="33" spans="1:29" s="471" customFormat="1" ht="15">
      <c r="A33" s="468"/>
      <c r="B33" s="2951" t="s">
        <v>2561</v>
      </c>
      <c r="C33" s="469">
        <f>'数据-基础表'!I13</f>
        <v>420.78</v>
      </c>
      <c r="D33" s="136">
        <v>100</v>
      </c>
      <c r="E33" s="430">
        <v>500</v>
      </c>
      <c r="F33" s="425">
        <f>LOOKUP(E33,103:103,104:104)-LOOKUP(C33,103:103,104:104)+100</f>
        <v>98</v>
      </c>
      <c r="G33" s="429">
        <v>270</v>
      </c>
      <c r="H33" s="136">
        <f>LOOKUP(G33,103:103,104:104)-LOOKUP(C33,103:103,104:104)+100</f>
        <v>100</v>
      </c>
      <c r="I33" s="429">
        <v>1450</v>
      </c>
      <c r="J33" s="136">
        <f>LOOKUP(I33,103:103,104:104)-LOOKUP(C33,103:103,104:104)+100</f>
        <v>96</v>
      </c>
      <c r="K33" s="613"/>
      <c r="L33" s="1139"/>
      <c r="M33" s="1142"/>
      <c r="N33" s="1142"/>
      <c r="O33" s="1142"/>
      <c r="P33" s="3277"/>
      <c r="Q33" s="774" t="str">
        <f t="shared" si="11"/>
        <v>项目建筑规模</v>
      </c>
      <c r="R33" s="775" t="s">
        <v>17</v>
      </c>
      <c r="S33" s="776">
        <f t="shared" si="12"/>
        <v>98</v>
      </c>
      <c r="T33" s="775" t="s">
        <v>17</v>
      </c>
      <c r="U33" s="776">
        <f t="shared" si="13"/>
        <v>100</v>
      </c>
      <c r="V33" s="775" t="s">
        <v>17</v>
      </c>
      <c r="W33" s="776">
        <f t="shared" si="14"/>
        <v>96</v>
      </c>
      <c r="X33" s="777"/>
      <c r="Y33" s="3279"/>
      <c r="Z33" s="778" t="str">
        <f t="shared" si="15"/>
        <v>项目建筑规模</v>
      </c>
      <c r="AA33" s="2959">
        <f t="shared" si="3"/>
        <v>1.0204081632653061</v>
      </c>
      <c r="AB33" s="2959">
        <f t="shared" si="4"/>
        <v>1</v>
      </c>
      <c r="AC33" s="2959">
        <f t="shared" si="5"/>
        <v>1.0416666666666667</v>
      </c>
    </row>
    <row r="34" spans="1:29" ht="15">
      <c r="A34" s="472"/>
      <c r="B34" s="2951" t="s">
        <v>2562</v>
      </c>
      <c r="C34" s="2622" t="s">
        <v>3135</v>
      </c>
      <c r="D34" s="435">
        <v>100</v>
      </c>
      <c r="E34" s="2622" t="s">
        <v>3135</v>
      </c>
      <c r="F34" s="461">
        <f>SUMIF(105:105,E34,106:106)-SUMIF(105:105,C34,106:106)+100</f>
        <v>100</v>
      </c>
      <c r="G34" s="2622" t="s">
        <v>3135</v>
      </c>
      <c r="H34" s="435">
        <f>SUMIF(105:105,G34,106:106)-SUMIF(105:105,C34,106:106)+100</f>
        <v>100</v>
      </c>
      <c r="I34" s="2622" t="s">
        <v>3135</v>
      </c>
      <c r="J34" s="435">
        <f>SUMIF(105:105,I34,106:106)-SUMIF(105:105,C34,106:106)+100</f>
        <v>100</v>
      </c>
      <c r="K34" s="612">
        <v>2</v>
      </c>
      <c r="L34" s="1141"/>
      <c r="M34" s="1132"/>
      <c r="N34" s="1132"/>
      <c r="O34" s="1132"/>
      <c r="P34" s="3277"/>
      <c r="Q34" s="2958" t="str">
        <f t="shared" si="11"/>
        <v>建筑结构</v>
      </c>
      <c r="R34" s="772" t="s">
        <v>17</v>
      </c>
      <c r="S34" s="773">
        <f t="shared" si="12"/>
        <v>100</v>
      </c>
      <c r="T34" s="772" t="s">
        <v>17</v>
      </c>
      <c r="U34" s="773">
        <f t="shared" si="13"/>
        <v>100</v>
      </c>
      <c r="V34" s="772" t="s">
        <v>17</v>
      </c>
      <c r="W34" s="773">
        <f t="shared" si="14"/>
        <v>100</v>
      </c>
      <c r="X34" s="2960"/>
      <c r="Y34" s="3279"/>
      <c r="Z34" s="2961" t="str">
        <f t="shared" si="15"/>
        <v>建筑结构</v>
      </c>
      <c r="AA34" s="2959">
        <f t="shared" si="3"/>
        <v>1</v>
      </c>
      <c r="AB34" s="2959">
        <f t="shared" si="4"/>
        <v>1</v>
      </c>
      <c r="AC34" s="2959">
        <f t="shared" si="5"/>
        <v>1</v>
      </c>
    </row>
    <row r="35" spans="1:29" ht="15">
      <c r="A35" s="472"/>
      <c r="B35" s="2951" t="s">
        <v>2656</v>
      </c>
      <c r="C35" s="2616" t="s">
        <v>3136</v>
      </c>
      <c r="D35" s="435">
        <v>100</v>
      </c>
      <c r="E35" s="2616" t="s">
        <v>3136</v>
      </c>
      <c r="F35" s="461">
        <f>SUMIF(107:107,E35,108:108)-SUMIF(107:107,C35,108:108)+100</f>
        <v>100</v>
      </c>
      <c r="G35" s="2616" t="s">
        <v>3136</v>
      </c>
      <c r="H35" s="435">
        <f>SUMIF(107:107,G35,108:108)-SUMIF(107:107,C35,108:108)+100</f>
        <v>100</v>
      </c>
      <c r="I35" s="2616" t="s">
        <v>3136</v>
      </c>
      <c r="J35" s="435">
        <f>SUMIF(107:107,I35,108:108)-SUMIF(107:107,C35,108:108)+100</f>
        <v>100</v>
      </c>
      <c r="K35" s="612">
        <v>2</v>
      </c>
      <c r="L35" s="1141"/>
      <c r="M35" s="1132"/>
      <c r="N35" s="1132"/>
      <c r="O35" s="1132"/>
      <c r="P35" s="3277"/>
      <c r="Q35" s="2958" t="str">
        <f t="shared" si="11"/>
        <v>公共部分装修</v>
      </c>
      <c r="R35" s="772" t="s">
        <v>17</v>
      </c>
      <c r="S35" s="773">
        <f t="shared" si="12"/>
        <v>100</v>
      </c>
      <c r="T35" s="772" t="s">
        <v>17</v>
      </c>
      <c r="U35" s="773">
        <f t="shared" si="13"/>
        <v>100</v>
      </c>
      <c r="V35" s="772" t="s">
        <v>17</v>
      </c>
      <c r="W35" s="773">
        <f t="shared" si="14"/>
        <v>100</v>
      </c>
      <c r="X35" s="2960"/>
      <c r="Y35" s="3279"/>
      <c r="Z35" s="2961" t="str">
        <f t="shared" si="15"/>
        <v>公共部分装修</v>
      </c>
      <c r="AA35" s="2959">
        <f t="shared" si="3"/>
        <v>1</v>
      </c>
      <c r="AB35" s="2959">
        <f t="shared" si="4"/>
        <v>1</v>
      </c>
      <c r="AC35" s="2959">
        <f t="shared" si="5"/>
        <v>1</v>
      </c>
    </row>
    <row r="36" spans="1:29" ht="15">
      <c r="A36" s="472"/>
      <c r="B36" s="2951" t="s">
        <v>2657</v>
      </c>
      <c r="C36" s="474">
        <v>0.77</v>
      </c>
      <c r="D36" s="435">
        <v>100</v>
      </c>
      <c r="E36" s="474">
        <v>0.8</v>
      </c>
      <c r="F36" s="461">
        <f>LOOKUP(E36,110:110,111:111)-LOOKUP(C36,110:110,111:111)+100</f>
        <v>101</v>
      </c>
      <c r="G36" s="474">
        <v>0.83</v>
      </c>
      <c r="H36" s="461">
        <f>LOOKUP(G36,110:110,111:111)-LOOKUP(C36,110:110,111:111)+100</f>
        <v>101</v>
      </c>
      <c r="I36" s="474">
        <v>0.88</v>
      </c>
      <c r="J36" s="435">
        <f>LOOKUP(I36,110:110,111:111)-LOOKUP(C36,110:110,111:111)+100</f>
        <v>101</v>
      </c>
      <c r="K36" s="612">
        <v>1</v>
      </c>
      <c r="L36" s="1141"/>
      <c r="M36" s="1132"/>
      <c r="N36" s="1132"/>
      <c r="O36" s="1132"/>
      <c r="P36" s="3277"/>
      <c r="Q36" s="2958" t="str">
        <f t="shared" si="11"/>
        <v>成新度</v>
      </c>
      <c r="R36" s="772" t="s">
        <v>17</v>
      </c>
      <c r="S36" s="773">
        <f t="shared" si="12"/>
        <v>101</v>
      </c>
      <c r="T36" s="772" t="s">
        <v>17</v>
      </c>
      <c r="U36" s="773">
        <f t="shared" si="13"/>
        <v>101</v>
      </c>
      <c r="V36" s="772" t="s">
        <v>17</v>
      </c>
      <c r="W36" s="773">
        <f t="shared" si="14"/>
        <v>101</v>
      </c>
      <c r="X36" s="2960"/>
      <c r="Y36" s="3279"/>
      <c r="Z36" s="2961" t="str">
        <f t="shared" si="15"/>
        <v>成新度</v>
      </c>
      <c r="AA36" s="2959">
        <f t="shared" si="3"/>
        <v>0.99009900990099009</v>
      </c>
      <c r="AB36" s="2959">
        <f t="shared" si="4"/>
        <v>0.99009900990099009</v>
      </c>
      <c r="AC36" s="2959">
        <f t="shared" si="5"/>
        <v>0.99009900990099009</v>
      </c>
    </row>
    <row r="37" spans="1:29" s="117" customFormat="1" ht="15">
      <c r="A37" s="473"/>
      <c r="B37" s="2951" t="s">
        <v>2658</v>
      </c>
      <c r="C37" s="2616" t="s">
        <v>3138</v>
      </c>
      <c r="D37" s="136">
        <v>100</v>
      </c>
      <c r="E37" s="2616" t="s">
        <v>3140</v>
      </c>
      <c r="F37" s="461">
        <f>SUMIF(112:112,E37,113:113)-SUMIF(112:112,C37,113:113)+100</f>
        <v>102</v>
      </c>
      <c r="G37" s="2616" t="s">
        <v>3140</v>
      </c>
      <c r="H37" s="435">
        <f>SUMIF(112:112,G37,113:113)-SUMIF(112:112,C37,113:113)+100</f>
        <v>102</v>
      </c>
      <c r="I37" s="2616" t="s">
        <v>3140</v>
      </c>
      <c r="J37" s="435">
        <f>SUMIF(112:112,I37,113:113)-SUMIF(112:112,C37,113:113)+100</f>
        <v>102</v>
      </c>
      <c r="K37" s="612">
        <v>1</v>
      </c>
      <c r="L37" s="1133"/>
      <c r="M37" s="1134"/>
      <c r="N37" s="1134"/>
      <c r="O37" s="1134"/>
      <c r="P37" s="3277"/>
      <c r="Q37" s="2945" t="str">
        <f t="shared" si="11"/>
        <v>市政基础设施</v>
      </c>
      <c r="R37" s="768" t="s">
        <v>17</v>
      </c>
      <c r="S37" s="769">
        <f t="shared" si="12"/>
        <v>102</v>
      </c>
      <c r="T37" s="768" t="s">
        <v>17</v>
      </c>
      <c r="U37" s="769">
        <f t="shared" si="13"/>
        <v>102</v>
      </c>
      <c r="V37" s="768" t="s">
        <v>17</v>
      </c>
      <c r="W37" s="769">
        <f t="shared" si="14"/>
        <v>102</v>
      </c>
      <c r="X37" s="770"/>
      <c r="Y37" s="3279"/>
      <c r="Z37" s="2946" t="str">
        <f t="shared" si="15"/>
        <v>市政基础设施</v>
      </c>
      <c r="AA37" s="771">
        <f t="shared" si="3"/>
        <v>0.98039215686274506</v>
      </c>
      <c r="AB37" s="771">
        <f t="shared" si="4"/>
        <v>0.98039215686274506</v>
      </c>
      <c r="AC37" s="771">
        <f t="shared" si="5"/>
        <v>0.98039215686274506</v>
      </c>
    </row>
    <row r="38" spans="1:29" ht="15">
      <c r="A38" s="472"/>
      <c r="B38" s="2951" t="s">
        <v>2659</v>
      </c>
      <c r="C38" s="2616" t="s">
        <v>3121</v>
      </c>
      <c r="D38" s="435">
        <v>100</v>
      </c>
      <c r="E38" s="2616" t="s">
        <v>3121</v>
      </c>
      <c r="F38" s="461">
        <f>SUMIF(114:114,E38,115:115)-SUMIF(114:114,C38,115:115)+100</f>
        <v>100</v>
      </c>
      <c r="G38" s="2616" t="s">
        <v>3122</v>
      </c>
      <c r="H38" s="435">
        <f>SUMIF(114:114,G38,115:115)-SUMIF(114:114,C38,115:115)+100</f>
        <v>103</v>
      </c>
      <c r="I38" s="2616" t="s">
        <v>3122</v>
      </c>
      <c r="J38" s="435">
        <f>SUMIF(114:114,I38,115:115)-SUMIF(114:114,C38,115:115)+100</f>
        <v>103</v>
      </c>
      <c r="K38" s="612">
        <v>3</v>
      </c>
      <c r="L38" s="1141"/>
      <c r="M38" s="1132"/>
      <c r="N38" s="1132"/>
      <c r="O38" s="1132"/>
      <c r="P38" s="3277" t="s">
        <v>2560</v>
      </c>
      <c r="Q38" s="2958" t="str">
        <f t="shared" si="11"/>
        <v>业态</v>
      </c>
      <c r="R38" s="772" t="s">
        <v>17</v>
      </c>
      <c r="S38" s="773">
        <f t="shared" si="12"/>
        <v>100</v>
      </c>
      <c r="T38" s="772" t="s">
        <v>17</v>
      </c>
      <c r="U38" s="773">
        <f t="shared" si="13"/>
        <v>103</v>
      </c>
      <c r="V38" s="772" t="s">
        <v>17</v>
      </c>
      <c r="W38" s="773">
        <f t="shared" si="14"/>
        <v>103</v>
      </c>
      <c r="X38" s="2960"/>
      <c r="Y38" s="3279" t="s">
        <v>2560</v>
      </c>
      <c r="Z38" s="2961" t="str">
        <f t="shared" si="15"/>
        <v>业态</v>
      </c>
      <c r="AA38" s="2959">
        <f t="shared" si="3"/>
        <v>1</v>
      </c>
      <c r="AB38" s="2959">
        <f t="shared" si="4"/>
        <v>0.970873786407767</v>
      </c>
      <c r="AC38" s="2959">
        <f t="shared" si="5"/>
        <v>0.970873786407767</v>
      </c>
    </row>
    <row r="39" spans="1:29" ht="15">
      <c r="A39" s="472"/>
      <c r="B39" s="2951" t="s">
        <v>2660</v>
      </c>
      <c r="C39" s="2616" t="s">
        <v>3141</v>
      </c>
      <c r="D39" s="435">
        <v>100</v>
      </c>
      <c r="E39" s="2616" t="s">
        <v>3141</v>
      </c>
      <c r="F39" s="461">
        <f>SUMIF(116:116,E39,117:117)-SUMIF(116:116,C39,117:117)+100</f>
        <v>100</v>
      </c>
      <c r="G39" s="2616" t="s">
        <v>3141</v>
      </c>
      <c r="H39" s="435">
        <f>SUMIF(116:116,G39,117:117)-SUMIF(116:116,C39,117:117)+100</f>
        <v>100</v>
      </c>
      <c r="I39" s="2616" t="s">
        <v>3141</v>
      </c>
      <c r="J39" s="435">
        <f>SUMIF(116:116,I39,117:117)-SUMIF(116:116,C39,117:117)+100</f>
        <v>100</v>
      </c>
      <c r="K39" s="612">
        <v>2</v>
      </c>
      <c r="L39" s="1141"/>
      <c r="M39" s="1132"/>
      <c r="N39" s="1132"/>
      <c r="O39" s="1132"/>
      <c r="P39" s="3277"/>
      <c r="Q39" s="2958" t="str">
        <f t="shared" si="11"/>
        <v>层高</v>
      </c>
      <c r="R39" s="772" t="s">
        <v>17</v>
      </c>
      <c r="S39" s="773">
        <f t="shared" si="12"/>
        <v>100</v>
      </c>
      <c r="T39" s="772" t="s">
        <v>17</v>
      </c>
      <c r="U39" s="773">
        <f t="shared" si="13"/>
        <v>100</v>
      </c>
      <c r="V39" s="772" t="s">
        <v>17</v>
      </c>
      <c r="W39" s="773">
        <f t="shared" si="14"/>
        <v>100</v>
      </c>
      <c r="X39" s="2960"/>
      <c r="Y39" s="3279"/>
      <c r="Z39" s="2961" t="str">
        <f t="shared" si="15"/>
        <v>层高</v>
      </c>
      <c r="AA39" s="2959">
        <f t="shared" si="3"/>
        <v>1</v>
      </c>
      <c r="AB39" s="2959">
        <f t="shared" si="4"/>
        <v>1</v>
      </c>
      <c r="AC39" s="2959">
        <f t="shared" si="5"/>
        <v>1</v>
      </c>
    </row>
    <row r="40" spans="1:29" ht="15">
      <c r="A40" s="472"/>
      <c r="B40" s="2951"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77"/>
      <c r="Q40" s="2958" t="str">
        <f t="shared" si="11"/>
        <v>单套建筑面积</v>
      </c>
      <c r="R40" s="772" t="s">
        <v>17</v>
      </c>
      <c r="S40" s="773">
        <f t="shared" si="12"/>
        <v>100</v>
      </c>
      <c r="T40" s="772" t="s">
        <v>17</v>
      </c>
      <c r="U40" s="773">
        <f t="shared" si="13"/>
        <v>100</v>
      </c>
      <c r="V40" s="772" t="s">
        <v>17</v>
      </c>
      <c r="W40" s="773">
        <f t="shared" si="14"/>
        <v>100</v>
      </c>
      <c r="X40" s="2960"/>
      <c r="Y40" s="3279"/>
      <c r="Z40" s="2961" t="str">
        <f t="shared" si="15"/>
        <v>单套建筑面积</v>
      </c>
      <c r="AA40" s="2959">
        <f t="shared" si="3"/>
        <v>1</v>
      </c>
      <c r="AB40" s="2959">
        <f t="shared" si="4"/>
        <v>1</v>
      </c>
      <c r="AC40" s="2959">
        <f t="shared" si="5"/>
        <v>1</v>
      </c>
    </row>
    <row r="41" spans="1:29" s="471" customFormat="1" ht="15">
      <c r="A41" s="468"/>
      <c r="B41" s="2957" t="s">
        <v>2662</v>
      </c>
      <c r="C41" s="616" t="s">
        <v>3112</v>
      </c>
      <c r="D41" s="435">
        <v>100</v>
      </c>
      <c r="E41" s="616" t="s">
        <v>3112</v>
      </c>
      <c r="F41" s="461">
        <f>SUMIF(120:120,E41,121:121)-SUMIF(120:120,C41,121:121)+100</f>
        <v>100</v>
      </c>
      <c r="G41" s="616" t="s">
        <v>3112</v>
      </c>
      <c r="H41" s="435">
        <f>SUMIF(120:120,G41,121:121)-SUMIF(120:120,C41,121:121)+100</f>
        <v>100</v>
      </c>
      <c r="I41" s="616" t="s">
        <v>3112</v>
      </c>
      <c r="J41" s="435">
        <f>SUMIF(120:120,I41,121:121)-SUMIF(120:120,C41,121:121)+100</f>
        <v>100</v>
      </c>
      <c r="K41" s="612">
        <v>2</v>
      </c>
      <c r="L41" s="1139"/>
      <c r="M41" s="1142"/>
      <c r="N41" s="1142"/>
      <c r="O41" s="1142"/>
      <c r="P41" s="3277"/>
      <c r="Q41" s="774" t="str">
        <f t="shared" si="11"/>
        <v>进深比</v>
      </c>
      <c r="R41" s="775" t="s">
        <v>17</v>
      </c>
      <c r="S41" s="776">
        <f t="shared" si="12"/>
        <v>100</v>
      </c>
      <c r="T41" s="775" t="s">
        <v>17</v>
      </c>
      <c r="U41" s="776">
        <f t="shared" si="13"/>
        <v>100</v>
      </c>
      <c r="V41" s="775" t="s">
        <v>17</v>
      </c>
      <c r="W41" s="776">
        <f t="shared" si="14"/>
        <v>100</v>
      </c>
      <c r="X41" s="777"/>
      <c r="Y41" s="3279"/>
      <c r="Z41" s="778" t="str">
        <f t="shared" si="15"/>
        <v>进深比</v>
      </c>
      <c r="AA41" s="2959">
        <f t="shared" si="3"/>
        <v>1</v>
      </c>
      <c r="AB41" s="2959">
        <f t="shared" si="4"/>
        <v>1</v>
      </c>
      <c r="AC41" s="2959">
        <f t="shared" si="5"/>
        <v>1</v>
      </c>
    </row>
    <row r="42" spans="1:29" ht="15">
      <c r="A42" s="472"/>
      <c r="B42" s="2951" t="s">
        <v>2663</v>
      </c>
      <c r="C42" s="2616" t="s">
        <v>3136</v>
      </c>
      <c r="D42" s="435">
        <v>100</v>
      </c>
      <c r="E42" s="2616" t="s">
        <v>3136</v>
      </c>
      <c r="F42" s="461">
        <f>SUMIF(122:122,E42,123:123)-SUMIF(122:122,C42,123:123)+100</f>
        <v>100</v>
      </c>
      <c r="G42" s="2616" t="s">
        <v>3136</v>
      </c>
      <c r="H42" s="435">
        <f>SUMIF(122:122,G42,123:123)-SUMIF(122:122,C42,123:123)+100</f>
        <v>100</v>
      </c>
      <c r="I42" s="2616" t="s">
        <v>3136</v>
      </c>
      <c r="J42" s="435">
        <f>SUMIF(122:122,I42,123:123)-SUMIF(122:122,C42,123:123)+100</f>
        <v>100</v>
      </c>
      <c r="K42" s="612">
        <v>2</v>
      </c>
      <c r="L42" s="1141"/>
      <c r="M42" s="1132"/>
      <c r="N42" s="1132"/>
      <c r="O42" s="1132"/>
      <c r="P42" s="3277"/>
      <c r="Q42" s="2958" t="str">
        <f t="shared" si="11"/>
        <v>内部装修</v>
      </c>
      <c r="R42" s="772" t="s">
        <v>17</v>
      </c>
      <c r="S42" s="773">
        <f t="shared" si="12"/>
        <v>100</v>
      </c>
      <c r="T42" s="772" t="s">
        <v>17</v>
      </c>
      <c r="U42" s="773">
        <f t="shared" si="13"/>
        <v>100</v>
      </c>
      <c r="V42" s="772" t="s">
        <v>17</v>
      </c>
      <c r="W42" s="773">
        <f t="shared" si="14"/>
        <v>100</v>
      </c>
      <c r="X42" s="2960"/>
      <c r="Y42" s="3279"/>
      <c r="Z42" s="2961" t="str">
        <f t="shared" si="15"/>
        <v>内部装修</v>
      </c>
      <c r="AA42" s="2959">
        <f t="shared" si="3"/>
        <v>1</v>
      </c>
      <c r="AB42" s="2959">
        <f t="shared" si="4"/>
        <v>1</v>
      </c>
      <c r="AC42" s="2959">
        <f t="shared" si="5"/>
        <v>1</v>
      </c>
    </row>
    <row r="43" spans="1:29" ht="15">
      <c r="A43" s="472"/>
      <c r="B43" s="2951" t="s">
        <v>2571</v>
      </c>
      <c r="C43" s="2616" t="s">
        <v>3124</v>
      </c>
      <c r="D43" s="435">
        <v>100</v>
      </c>
      <c r="E43" s="2616" t="s">
        <v>3124</v>
      </c>
      <c r="F43" s="461">
        <f>SUMIF(124:124,E43,125:125)-SUMIF(124:124,C43,125:125)+100</f>
        <v>100</v>
      </c>
      <c r="G43" s="2616" t="s">
        <v>3124</v>
      </c>
      <c r="H43" s="435">
        <f>SUMIF(124:124,G43,125:125)-SUMIF(124:124,C43,125:125)+100</f>
        <v>100</v>
      </c>
      <c r="I43" s="2616" t="s">
        <v>3124</v>
      </c>
      <c r="J43" s="435">
        <f>SUMIF(124:124,I43,125:125)-SUMIF(124:124,C43,125:125)+100</f>
        <v>100</v>
      </c>
      <c r="K43" s="612">
        <v>2</v>
      </c>
      <c r="L43" s="1141"/>
      <c r="M43" s="1132"/>
      <c r="N43" s="1132"/>
      <c r="O43" s="1132"/>
      <c r="P43" s="3277"/>
      <c r="Q43" s="2958" t="str">
        <f t="shared" si="11"/>
        <v>内部装修维护情况</v>
      </c>
      <c r="R43" s="772" t="s">
        <v>17</v>
      </c>
      <c r="S43" s="773">
        <f t="shared" si="12"/>
        <v>100</v>
      </c>
      <c r="T43" s="772" t="s">
        <v>17</v>
      </c>
      <c r="U43" s="773">
        <f t="shared" si="13"/>
        <v>100</v>
      </c>
      <c r="V43" s="772" t="s">
        <v>17</v>
      </c>
      <c r="W43" s="773">
        <f t="shared" si="14"/>
        <v>100</v>
      </c>
      <c r="X43" s="2960"/>
      <c r="Y43" s="3279"/>
      <c r="Z43" s="2961" t="str">
        <f t="shared" si="15"/>
        <v>内部装修维护情况</v>
      </c>
      <c r="AA43" s="2959">
        <f t="shared" si="3"/>
        <v>1</v>
      </c>
      <c r="AB43" s="2959">
        <f t="shared" si="4"/>
        <v>1</v>
      </c>
      <c r="AC43" s="295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77"/>
      <c r="Q44" s="2945">
        <f t="shared" si="11"/>
        <v>111</v>
      </c>
      <c r="R44" s="768" t="s">
        <v>17</v>
      </c>
      <c r="S44" s="769">
        <f t="shared" si="12"/>
        <v>100</v>
      </c>
      <c r="T44" s="768" t="s">
        <v>17</v>
      </c>
      <c r="U44" s="769">
        <f t="shared" si="13"/>
        <v>100</v>
      </c>
      <c r="V44" s="768" t="s">
        <v>17</v>
      </c>
      <c r="W44" s="769">
        <f t="shared" si="14"/>
        <v>100</v>
      </c>
      <c r="X44" s="770"/>
      <c r="Y44" s="3279"/>
      <c r="Z44" s="2946">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77"/>
      <c r="Q45" s="2958">
        <f t="shared" si="11"/>
        <v>111</v>
      </c>
      <c r="R45" s="772" t="s">
        <v>17</v>
      </c>
      <c r="S45" s="773">
        <f t="shared" si="12"/>
        <v>100</v>
      </c>
      <c r="T45" s="772" t="s">
        <v>17</v>
      </c>
      <c r="U45" s="773">
        <f t="shared" si="13"/>
        <v>100</v>
      </c>
      <c r="V45" s="772" t="s">
        <v>17</v>
      </c>
      <c r="W45" s="773">
        <f t="shared" si="14"/>
        <v>100</v>
      </c>
      <c r="X45" s="2960"/>
      <c r="Y45" s="3279"/>
      <c r="Z45" s="2961">
        <f t="shared" si="15"/>
        <v>111</v>
      </c>
      <c r="AA45" s="2959">
        <f t="shared" si="3"/>
        <v>1</v>
      </c>
      <c r="AB45" s="2959">
        <f t="shared" si="4"/>
        <v>1</v>
      </c>
      <c r="AC45" s="2959">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78"/>
      <c r="Q46" s="2958">
        <f t="shared" si="11"/>
        <v>0.95</v>
      </c>
      <c r="R46" s="772" t="s">
        <v>17</v>
      </c>
      <c r="S46" s="773">
        <f t="shared" si="12"/>
        <v>100</v>
      </c>
      <c r="T46" s="772" t="s">
        <v>17</v>
      </c>
      <c r="U46" s="773">
        <f t="shared" si="13"/>
        <v>100</v>
      </c>
      <c r="V46" s="772" t="s">
        <v>17</v>
      </c>
      <c r="W46" s="773">
        <f t="shared" si="14"/>
        <v>100</v>
      </c>
      <c r="X46" s="2960"/>
      <c r="Y46" s="3280"/>
      <c r="Z46" s="2961">
        <f t="shared" si="15"/>
        <v>0.95</v>
      </c>
      <c r="AA46" s="2959">
        <f t="shared" si="3"/>
        <v>1</v>
      </c>
      <c r="AB46" s="2959">
        <f t="shared" si="4"/>
        <v>1</v>
      </c>
      <c r="AC46" s="2959">
        <f t="shared" si="5"/>
        <v>1</v>
      </c>
    </row>
    <row r="47" spans="1:29" ht="15">
      <c r="A47" s="479" t="s">
        <v>2572</v>
      </c>
      <c r="B47" s="480"/>
      <c r="C47" s="1408" t="s">
        <v>1</v>
      </c>
      <c r="D47" s="1409"/>
      <c r="E47" s="1410">
        <f>ROUND(10*B46,1)</f>
        <v>9.5</v>
      </c>
      <c r="F47" s="1411"/>
      <c r="G47" s="1412">
        <f>ROUND(10.1*B46,1)</f>
        <v>9.6</v>
      </c>
      <c r="H47" s="1413"/>
      <c r="I47" s="1410">
        <f>ROUND(11.5*B46,1)</f>
        <v>10.9</v>
      </c>
      <c r="J47" s="1413"/>
      <c r="K47" s="781"/>
      <c r="L47" s="1144"/>
      <c r="M47" s="1145"/>
      <c r="N47" s="1132"/>
      <c r="O47" s="1145"/>
      <c r="P47" s="3281" t="str">
        <f>A47</f>
        <v>成交单价（元/平方米）</v>
      </c>
      <c r="Q47" s="3281"/>
      <c r="R47" s="3241">
        <f>E47</f>
        <v>9.5</v>
      </c>
      <c r="S47" s="3241"/>
      <c r="T47" s="3241">
        <f>G47</f>
        <v>9.6</v>
      </c>
      <c r="U47" s="3241"/>
      <c r="V47" s="3241">
        <f>I47</f>
        <v>10.9</v>
      </c>
      <c r="W47" s="3241"/>
      <c r="X47" s="757"/>
      <c r="Y47" s="779"/>
      <c r="Z47" s="757"/>
      <c r="AA47" s="757"/>
      <c r="AB47" s="757"/>
      <c r="AC47" s="757"/>
    </row>
    <row r="48" spans="1:29" ht="15.75" thickBot="1">
      <c r="A48" s="486" t="s">
        <v>2573</v>
      </c>
      <c r="B48" s="487"/>
      <c r="C48" s="1414">
        <f>R49</f>
        <v>9.3000000000000007</v>
      </c>
      <c r="D48" s="1415"/>
      <c r="E48" s="1416">
        <f>R48</f>
        <v>9.9</v>
      </c>
      <c r="F48" s="1416"/>
      <c r="G48" s="1414">
        <f>T48</f>
        <v>8.5</v>
      </c>
      <c r="H48" s="1415"/>
      <c r="I48" s="1416">
        <f>V48</f>
        <v>9.5</v>
      </c>
      <c r="J48" s="1415"/>
      <c r="K48" s="782"/>
      <c r="L48" s="1144"/>
      <c r="M48" s="1145"/>
      <c r="N48" s="1132"/>
      <c r="O48" s="1145"/>
      <c r="P48" s="3281" t="str">
        <f>A48</f>
        <v>比较价值（元/平方米）</v>
      </c>
      <c r="Q48" s="3281"/>
      <c r="R48" s="3282">
        <f>IF(F1="售价",ROUND(PRODUCT(R47,AA7:AA46),0),ROUND(PRODUCT(R47,AA7:AA46),1))</f>
        <v>9.9</v>
      </c>
      <c r="S48" s="3282"/>
      <c r="T48" s="3282">
        <f>IF(F1="售价",ROUND(PRODUCT(T47,AB7:AB46),0),ROUND(PRODUCT(T47,AB7:AB46),1))</f>
        <v>8.5</v>
      </c>
      <c r="U48" s="3282"/>
      <c r="V48" s="3282">
        <f>IF(F1="售价",ROUND(PRODUCT(V47,AC7:AC46),0),ROUND(PRODUCT(V47,AC7:AC46),1))</f>
        <v>9.5</v>
      </c>
      <c r="W48" s="3282"/>
      <c r="X48" s="757"/>
      <c r="Y48" s="757"/>
      <c r="Z48" s="757"/>
      <c r="AA48" s="757"/>
      <c r="AB48" s="757"/>
      <c r="AC48" s="757"/>
    </row>
    <row r="49" spans="1:29" ht="15.75" thickBot="1">
      <c r="A49" s="492" t="s">
        <v>2574</v>
      </c>
      <c r="B49" s="493"/>
      <c r="C49" s="1418">
        <f>R49</f>
        <v>9.3000000000000007</v>
      </c>
      <c r="D49" s="1418"/>
      <c r="E49" s="1418"/>
      <c r="F49" s="1418"/>
      <c r="G49" s="1418"/>
      <c r="H49" s="1418"/>
      <c r="I49" s="1418"/>
      <c r="J49" s="1418"/>
      <c r="K49" s="783"/>
      <c r="L49" s="1144"/>
      <c r="M49" s="1145"/>
      <c r="N49" s="1132"/>
      <c r="O49" s="1145"/>
      <c r="P49" s="3283" t="str">
        <f>A49</f>
        <v>估价对象XX用房的比较价值（楼面单价，元/平方米）</v>
      </c>
      <c r="Q49" s="3284"/>
      <c r="R49" s="3285">
        <f>IF(F1="售价",ROUND(AVERAGE(R48:V48),0),ROUND(AVERAGE(R48:V48),1))</f>
        <v>9.3000000000000007</v>
      </c>
      <c r="S49" s="3285"/>
      <c r="T49" s="3285"/>
      <c r="U49" s="3285"/>
      <c r="V49" s="3285"/>
      <c r="W49" s="328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2575</v>
      </c>
      <c r="D52" s="498"/>
      <c r="E52" s="499">
        <f>IF(E47&lt;E48,E48/E47-1,E47/E48-1)</f>
        <v>4.2105263157894868E-2</v>
      </c>
      <c r="F52" s="500" t="str">
        <f>IF(OR(E52&gt;=0.3,E52&lt;=-0.3),"超过30%","")</f>
        <v/>
      </c>
      <c r="G52" s="499">
        <f>IF(G47&lt;G48,G48/G47-1,G47/G48-1)</f>
        <v>0.12941176470588234</v>
      </c>
      <c r="H52" s="500" t="str">
        <f>IF(OR(G52&gt;=0.3,G52&lt;=-0.3),"超过30%","")</f>
        <v/>
      </c>
      <c r="I52" s="499">
        <f>IF(I47&lt;I48,I48/I47-1,I47/I48-1)</f>
        <v>0.14736842105263159</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2576</v>
      </c>
      <c r="D53" s="501"/>
      <c r="E53" s="499">
        <f>IF(E48&lt;G48,G48/E48-1,E48/G48-1)</f>
        <v>0.16470588235294126</v>
      </c>
      <c r="F53" s="500" t="str">
        <f>IF(OR(E53&gt;=0.2,E53&lt;=-0.2),"超过20%","")</f>
        <v/>
      </c>
      <c r="G53" s="499">
        <f>IF(G48&lt;I48,I48/G48-1,G48/I48-1)</f>
        <v>0.11764705882352944</v>
      </c>
      <c r="H53" s="500" t="str">
        <f>IF(OR(G53&gt;=0.2,G53&lt;=-0.2),"超过20%","")</f>
        <v/>
      </c>
      <c r="I53" s="499">
        <f>IF(I48&lt;E48,E48/I48-1,I48/E48-1)</f>
        <v>4.2105263157894868E-2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2577</v>
      </c>
      <c r="D54" s="501"/>
      <c r="E54" s="499">
        <f>IF(E47&lt;G47,G47/E47-1,E47/G47-1)</f>
        <v>1.0526315789473717E-2</v>
      </c>
      <c r="F54" s="500" t="str">
        <f>IF(OR(E54&gt;=0.3,E54&lt;=-0.3),"超过30%","")</f>
        <v/>
      </c>
      <c r="G54" s="499">
        <f>IF(G47&lt;I47,I47/G47-1,G47/I47-1)</f>
        <v>0.13541666666666674</v>
      </c>
      <c r="H54" s="500" t="str">
        <f>IF(OR(G54&gt;=0.3,G54&lt;=-0.3),"超过30%","")</f>
        <v/>
      </c>
      <c r="I54" s="499">
        <f>IF(I47&lt;E47,E47/I47-1,I47/E47-1)</f>
        <v>0.14736842105263159</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2578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3082</v>
      </c>
      <c r="D86" s="2969" t="s">
        <v>3083</v>
      </c>
      <c r="E86" s="2969" t="s">
        <v>3084</v>
      </c>
      <c r="F86" s="2969" t="s">
        <v>3085</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3086</v>
      </c>
      <c r="D88" s="2969" t="s">
        <v>3087</v>
      </c>
      <c r="E88" s="2969" t="s">
        <v>3088</v>
      </c>
      <c r="F88" s="2970" t="s">
        <v>3089</v>
      </c>
      <c r="G88" s="2969" t="s">
        <v>3090</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3091</v>
      </c>
      <c r="D90" s="2969" t="s">
        <v>3092</v>
      </c>
      <c r="E90" s="2969" t="s">
        <v>3088</v>
      </c>
      <c r="F90" s="2969" t="s">
        <v>3089</v>
      </c>
      <c r="G90" s="2969" t="s">
        <v>3090</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3093</v>
      </c>
      <c r="D92" s="554" t="s">
        <v>3094</v>
      </c>
      <c r="E92" s="554" t="s">
        <v>3095</v>
      </c>
      <c r="F92" s="554" t="s">
        <v>3096</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3097</v>
      </c>
      <c r="D100" s="2971" t="s">
        <v>3099</v>
      </c>
      <c r="E100" s="2971" t="s">
        <v>3134</v>
      </c>
      <c r="F100" s="2971" t="s">
        <v>3100</v>
      </c>
      <c r="G100" s="2971" t="s">
        <v>3101</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3102</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3103</v>
      </c>
      <c r="D107" s="2969" t="s">
        <v>3104</v>
      </c>
      <c r="E107" s="2969" t="s">
        <v>3105</v>
      </c>
      <c r="F107" s="2972" t="s">
        <v>3106</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3107</v>
      </c>
      <c r="D112" s="2969" t="s">
        <v>3137</v>
      </c>
      <c r="E112" s="2969" t="s">
        <v>3139</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4"/>
      <c r="Q113" s="559"/>
    </row>
    <row r="114" spans="1:17" ht="15" thickTop="1">
      <c r="A114" s="599"/>
      <c r="B114" s="538" t="s">
        <v>2677</v>
      </c>
      <c r="C114" s="2969" t="s">
        <v>3108</v>
      </c>
      <c r="D114" s="2969" t="s">
        <v>3109</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3110</v>
      </c>
      <c r="D116" s="2969" t="s">
        <v>3111</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3113</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3103</v>
      </c>
      <c r="D122" s="2969" t="s">
        <v>3104</v>
      </c>
      <c r="E122" s="2969" t="s">
        <v>3105</v>
      </c>
      <c r="F122" s="2972" t="s">
        <v>3106</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76"/>
  <sheetViews>
    <sheetView topLeftCell="A34" workbookViewId="0">
      <selection activeCell="F55" sqref="F55:F58"/>
    </sheetView>
  </sheetViews>
  <sheetFormatPr defaultRowHeight="13.5"/>
  <cols>
    <col min="2" max="2" width="12.5" customWidth="1"/>
    <col min="6" max="6" width="9.625" bestFit="1" customWidth="1"/>
  </cols>
  <sheetData>
    <row r="5" spans="16:16">
      <c r="P5">
        <v>10</v>
      </c>
    </row>
    <row r="47" spans="11:11">
      <c r="K47">
        <v>10.1</v>
      </c>
    </row>
    <row r="52" spans="1:6" ht="14.25" thickBot="1"/>
    <row r="53" spans="1:6">
      <c r="A53" s="3375" t="s">
        <v>3153</v>
      </c>
      <c r="B53" s="3376"/>
      <c r="C53" s="3376"/>
      <c r="D53" s="3376"/>
      <c r="E53" s="3376"/>
      <c r="F53" s="3377"/>
    </row>
    <row r="54" spans="1:6">
      <c r="A54" s="2976" t="s">
        <v>3147</v>
      </c>
      <c r="B54" s="2974" t="s">
        <v>3145</v>
      </c>
      <c r="C54" s="2974" t="s">
        <v>3146</v>
      </c>
      <c r="D54" s="3023" t="s">
        <v>3148</v>
      </c>
      <c r="E54" s="3023" t="s">
        <v>3149</v>
      </c>
      <c r="F54" s="3024" t="s">
        <v>3150</v>
      </c>
    </row>
    <row r="55" spans="1:6">
      <c r="A55" s="2977" t="s">
        <v>3130</v>
      </c>
      <c r="B55" s="2975">
        <v>189.07</v>
      </c>
      <c r="C55" s="2975">
        <v>420.78</v>
      </c>
      <c r="D55" s="3025">
        <f>'比较法-商业 (租金)'!C49</f>
        <v>9.3000000000000007</v>
      </c>
      <c r="E55" s="3030">
        <v>1</v>
      </c>
      <c r="F55" s="3026">
        <f>ROUND($D$55*E55,1)</f>
        <v>9.3000000000000007</v>
      </c>
    </row>
    <row r="56" spans="1:6">
      <c r="A56" s="2977" t="s">
        <v>3142</v>
      </c>
      <c r="B56" s="2975">
        <v>196.22</v>
      </c>
      <c r="C56" s="2975">
        <v>436.69</v>
      </c>
      <c r="D56" s="3023" t="s">
        <v>3181</v>
      </c>
      <c r="E56" s="3030">
        <f>典型户型修正!D18/100</f>
        <v>0.6</v>
      </c>
      <c r="F56" s="3026">
        <f>ROUND($D$55*E56,1)</f>
        <v>5.6</v>
      </c>
    </row>
    <row r="57" spans="1:6">
      <c r="A57" s="2977" t="s">
        <v>3143</v>
      </c>
      <c r="B57" s="2975">
        <v>241.13</v>
      </c>
      <c r="C57" s="2975">
        <v>536.66</v>
      </c>
      <c r="D57" s="3023" t="s">
        <v>3181</v>
      </c>
      <c r="E57" s="3030">
        <f>典型户型修正!E18/100</f>
        <v>0.5</v>
      </c>
      <c r="F57" s="3026">
        <f>ROUND($D$55*E57,1)</f>
        <v>4.7</v>
      </c>
    </row>
    <row r="58" spans="1:6">
      <c r="A58" s="2977" t="s">
        <v>3144</v>
      </c>
      <c r="B58" s="2975">
        <v>495.36</v>
      </c>
      <c r="C58" s="2975">
        <v>1102.46</v>
      </c>
      <c r="D58" s="3023" t="s">
        <v>3181</v>
      </c>
      <c r="E58" s="3030">
        <f>典型户型修正!F18/100</f>
        <v>0.5</v>
      </c>
      <c r="F58" s="3026">
        <f>ROUND($D$55*E58,1)</f>
        <v>4.7</v>
      </c>
    </row>
    <row r="59" spans="1:6" ht="14.25" thickBot="1">
      <c r="A59" s="2978" t="s">
        <v>3152</v>
      </c>
      <c r="B59" s="2979">
        <f>B55+B56+B57+B58</f>
        <v>1121.78</v>
      </c>
      <c r="C59" s="2979">
        <f>C55+C56+C57+C58</f>
        <v>2496.59</v>
      </c>
      <c r="D59" s="3374" t="s">
        <v>3151</v>
      </c>
      <c r="E59" s="3374"/>
      <c r="F59" s="3031">
        <f>ROUND((F55*C55+F56*C56+F57*C57+F58*C58)/C59,1)</f>
        <v>5.6</v>
      </c>
    </row>
    <row r="76" spans="12:12">
      <c r="L76">
        <v>11.5</v>
      </c>
    </row>
  </sheetData>
  <mergeCells count="2">
    <mergeCell ref="D59:E59"/>
    <mergeCell ref="A53:F5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2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379" t="s">
        <v>3003</v>
      </c>
      <c r="D1" s="3380"/>
      <c r="E1" s="3380"/>
      <c r="F1" s="3380"/>
      <c r="G1" s="3380"/>
      <c r="H1" s="3380"/>
      <c r="I1" s="3380"/>
      <c r="J1" s="3380"/>
      <c r="K1" s="3380"/>
      <c r="L1" s="3380"/>
      <c r="M1" s="3380"/>
      <c r="N1" s="3380"/>
      <c r="O1" s="3380"/>
      <c r="P1" s="3380"/>
      <c r="Q1" s="3380"/>
      <c r="R1" s="3380"/>
      <c r="S1" s="3381"/>
      <c r="T1" s="1205" t="s">
        <v>3004</v>
      </c>
    </row>
    <row r="2" spans="1:45" s="707" customFormat="1" ht="38.25">
      <c r="A2" s="1206"/>
      <c r="B2" s="703" t="s">
        <v>3005</v>
      </c>
      <c r="C2" s="704" t="str">
        <f t="shared" ref="C2:L2" si="0">C3&amp;"(含)"&amp;"-"&amp;D3</f>
        <v>0(含)-100</v>
      </c>
      <c r="D2" s="705" t="str">
        <f t="shared" si="0"/>
        <v>100(含)-200</v>
      </c>
      <c r="E2" s="705" t="str">
        <f t="shared" si="0"/>
        <v>200(含)-500</v>
      </c>
      <c r="F2" s="705" t="str">
        <f t="shared" si="0"/>
        <v>500(含)-1000</v>
      </c>
      <c r="G2" s="705" t="str">
        <f t="shared" si="0"/>
        <v>1000(含)-5000</v>
      </c>
      <c r="H2" s="705" t="str">
        <f t="shared" si="0"/>
        <v>5000(含)-10000</v>
      </c>
      <c r="I2" s="705" t="str">
        <f t="shared" si="0"/>
        <v>10000(含)-20000</v>
      </c>
      <c r="J2" s="705" t="str">
        <f t="shared" si="0"/>
        <v>20000(含)-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595">
        <v>5000</v>
      </c>
      <c r="I3" s="595">
        <v>10000</v>
      </c>
      <c r="J3" s="596">
        <v>20000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536">
        <v>90</v>
      </c>
      <c r="I4" s="536">
        <v>88</v>
      </c>
      <c r="J4" s="536">
        <v>86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9" t="s">
        <v>3012</v>
      </c>
      <c r="B17" s="2920" t="s">
        <v>3013</v>
      </c>
      <c r="C17" s="1232" t="s">
        <v>3177</v>
      </c>
      <c r="D17" s="1233" t="s">
        <v>3178</v>
      </c>
      <c r="E17" s="1233" t="s">
        <v>3179</v>
      </c>
      <c r="F17" s="1233" t="s">
        <v>3180</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3029">
        <v>60</v>
      </c>
      <c r="E18" s="3029">
        <v>50</v>
      </c>
      <c r="F18" s="3029">
        <v>50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3014</v>
      </c>
      <c r="E19" s="1793"/>
      <c r="F19" s="1793"/>
      <c r="G19" s="1793"/>
      <c r="H19" s="1281"/>
      <c r="I19" s="168"/>
      <c r="J19" s="168"/>
      <c r="K19" s="168"/>
      <c r="L19" s="168"/>
      <c r="M19" s="168"/>
      <c r="N19" s="168"/>
      <c r="O19" s="168"/>
      <c r="P19" s="168"/>
      <c r="Q19" s="168"/>
      <c r="R19" s="786"/>
      <c r="S19" s="138"/>
    </row>
    <row r="20" spans="1:45" ht="16.5" thickBot="1">
      <c r="A20" s="713" t="s">
        <v>3015</v>
      </c>
      <c r="B20" s="338">
        <f>IF(D20="——",S22,S22-F20)</f>
        <v>6716</v>
      </c>
      <c r="C20" s="168"/>
      <c r="D20" s="2922" t="s">
        <v>70</v>
      </c>
      <c r="E20" s="1794"/>
      <c r="F20" s="1205" t="e">
        <f ca="1">SUMIF(INDIRECT("'"&amp;H20&amp;"'"&amp;"!A:A"),"承租人权益价值",INDIRECT("'"&amp;H20&amp;"'"&amp;"!c:c"))</f>
        <v>#N/A</v>
      </c>
      <c r="G20" s="1205" t="s">
        <v>3016</v>
      </c>
      <c r="H20" s="2923" t="s">
        <v>3183</v>
      </c>
      <c r="I20" s="168"/>
      <c r="J20" s="168"/>
      <c r="K20" s="168"/>
      <c r="L20" s="168"/>
      <c r="M20" s="168"/>
      <c r="N20" s="168"/>
      <c r="O20" s="168"/>
      <c r="P20" s="168"/>
      <c r="Q20" s="168"/>
      <c r="R20" s="786"/>
      <c r="S20" s="138"/>
    </row>
    <row r="21" spans="1:45" ht="15.75">
      <c r="A21" s="713" t="s">
        <v>3017</v>
      </c>
      <c r="B21" s="338">
        <f>R22</f>
        <v>26901</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2496.59</v>
      </c>
      <c r="C22" s="3150" t="s">
        <v>33</v>
      </c>
      <c r="D22" s="3151"/>
      <c r="E22" s="3151"/>
      <c r="F22" s="3151"/>
      <c r="G22" s="3151"/>
      <c r="H22" s="3151"/>
      <c r="I22" s="3151"/>
      <c r="J22" s="3151"/>
      <c r="K22" s="3151"/>
      <c r="L22" s="3151"/>
      <c r="M22" s="3151"/>
      <c r="N22" s="3151"/>
      <c r="O22" s="3151"/>
      <c r="P22" s="3151"/>
      <c r="Q22" s="3378"/>
      <c r="R22" s="714">
        <f>ROUND(S22*10000/B22,0)</f>
        <v>26901</v>
      </c>
      <c r="S22" s="24">
        <f>SUM(S24:S10000)</f>
        <v>6716</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22" t="s">
        <v>3130</v>
      </c>
      <c r="B24" s="716">
        <v>420.78</v>
      </c>
      <c r="C24" s="717">
        <v>1</v>
      </c>
      <c r="D24" s="718"/>
      <c r="E24" s="717">
        <v>1</v>
      </c>
      <c r="F24" s="718"/>
      <c r="G24" s="717">
        <v>1</v>
      </c>
      <c r="H24" s="718"/>
      <c r="I24" s="717">
        <v>1</v>
      </c>
      <c r="J24" s="718"/>
      <c r="K24" s="717">
        <v>1</v>
      </c>
      <c r="L24" s="718"/>
      <c r="M24" s="717">
        <v>1</v>
      </c>
      <c r="N24" s="718"/>
      <c r="O24" s="717">
        <v>1</v>
      </c>
      <c r="P24" s="718" t="s">
        <v>3130</v>
      </c>
      <c r="Q24" s="717">
        <v>1</v>
      </c>
      <c r="R24" s="719">
        <f>'比较法-商业'!C49</f>
        <v>45535</v>
      </c>
      <c r="S24" s="717">
        <f t="shared" ref="S24:S54" si="11">ROUND(R24*B24/10000,0)</f>
        <v>1916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3142</v>
      </c>
      <c r="B25" s="59">
        <v>436.69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3142</v>
      </c>
      <c r="Q25" s="24">
        <f>(SUMIF($17:$17,P25,$18:$18)-SUMIF($17:$17,$P$24,$18:$18)+100)/100</f>
        <v>0.6</v>
      </c>
      <c r="R25" s="714">
        <f>IF(B25="",0,ROUND($R$24*C25*E25*G25*I25*K25*M25*O25*Q25,0))</f>
        <v>27321</v>
      </c>
      <c r="S25" s="361">
        <f t="shared" si="11"/>
        <v>1193</v>
      </c>
    </row>
    <row r="26" spans="1:45">
      <c r="A26" s="159" t="s">
        <v>3143</v>
      </c>
      <c r="B26" s="59">
        <v>536.66</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3143</v>
      </c>
      <c r="Q26" s="24">
        <f t="shared" ref="Q26:Q89" si="19">(SUMIF($17:$17,P26,$18:$18)-SUMIF($17:$17,$P$24,$18:$18)+100)/100</f>
        <v>0.5</v>
      </c>
      <c r="R26" s="714">
        <f t="shared" ref="R26:R89" si="20">IF(B26="",0,ROUND($R$24*C26*E26*G26*I26*K26*M26*O26*Q26,0))</f>
        <v>22312</v>
      </c>
      <c r="S26" s="361">
        <f t="shared" si="11"/>
        <v>1197</v>
      </c>
    </row>
    <row r="27" spans="1:45">
      <c r="A27" s="159" t="s">
        <v>3144</v>
      </c>
      <c r="B27" s="59">
        <v>1102.46</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3144</v>
      </c>
      <c r="Q27" s="24">
        <f t="shared" si="19"/>
        <v>0.5</v>
      </c>
      <c r="R27" s="714">
        <f t="shared" si="20"/>
        <v>21857</v>
      </c>
      <c r="S27" s="361">
        <f t="shared" si="11"/>
        <v>2410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6" zoomScaleNormal="100" zoomScaleSheetLayoutView="100" zoomScalePageLayoutView="80" workbookViewId="0">
      <selection activeCell="G38" sqref="G38"/>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214" t="str">
        <f>项目基本情况!S2</f>
        <v>北京市朝阳区东三环南路76号房地产</v>
      </c>
      <c r="B2" s="3215"/>
      <c r="C2" s="3215"/>
      <c r="D2" s="3215"/>
      <c r="E2" s="3215"/>
      <c r="F2" s="3215"/>
      <c r="G2" s="3215"/>
      <c r="H2" s="3215"/>
      <c r="I2" s="3216"/>
    </row>
    <row r="3" spans="1:12" ht="12.75">
      <c r="A3" s="3217" t="s">
        <v>2118</v>
      </c>
      <c r="B3" s="3218"/>
      <c r="C3" s="3218"/>
      <c r="D3" s="3218"/>
      <c r="E3" s="3218"/>
      <c r="F3" s="3218"/>
      <c r="G3" s="3218"/>
      <c r="H3" s="3218"/>
      <c r="I3" s="3218"/>
    </row>
    <row r="4" spans="1:12" ht="14.25">
      <c r="A4" s="2426" t="s">
        <v>2119</v>
      </c>
      <c r="B4" s="2427" t="s">
        <v>2120</v>
      </c>
      <c r="C4" s="2428" t="s">
        <v>3200</v>
      </c>
      <c r="D4" s="2428" t="s">
        <v>3200</v>
      </c>
      <c r="E4" s="3198" t="s">
        <v>2121</v>
      </c>
      <c r="F4" s="3211"/>
      <c r="G4" s="3211"/>
      <c r="H4" s="3211"/>
      <c r="I4" s="3199"/>
      <c r="K4" s="2429" t="str">
        <f>IF(ISNUMBER(FIND("比较法",'结果表 (计算净值)'!C4)),"比较法",IF(ISNUMBER(FIND("成本法",'结果表 (计算净值)'!C4)),"成本法",IF(ISNUMBER(FIND("假设开发法",'结果表 (计算净值)'!C4)),"假设开发法",IF(ISNUMBER(FIND("收益法",'结果表 (计算净值)'!C4)),"收益法","基准地价系数修正法"))))</f>
        <v>基准地价系数修正法</v>
      </c>
      <c r="L4" s="2429" t="str">
        <f>IF(ISNUMBER(FIND("比较法",'结果表 (计算净值)'!D4)),"比较法",IF(ISNUMBER(FIND("成本法",'结果表 (计算净值)'!D4)),"成本法",IF(ISNUMBER(FIND("假设开发法",'结果表 (计算净值)'!D4)),"假设开发法",IF(ISNUMBER(FIND("收益法",'结果表 (计算净值)'!D4)),"收益法","基准地价系数修正法"))))</f>
        <v>基准地价系数修正法</v>
      </c>
    </row>
    <row r="5" spans="1:12" ht="12.75">
      <c r="A5" s="3189" t="s">
        <v>2122</v>
      </c>
      <c r="B5" s="3115">
        <v>25</v>
      </c>
      <c r="C5" s="3219"/>
      <c r="D5" s="3207"/>
      <c r="E5" s="140" t="s">
        <v>2123</v>
      </c>
      <c r="F5" s="2430"/>
      <c r="G5" s="2430"/>
      <c r="H5" s="2430"/>
      <c r="I5" s="1832"/>
    </row>
    <row r="6" spans="1:12" ht="12.75">
      <c r="A6" s="3189"/>
      <c r="B6" s="3115"/>
      <c r="C6" s="3221"/>
      <c r="D6" s="3207"/>
      <c r="E6" s="140" t="s">
        <v>2124</v>
      </c>
      <c r="F6" s="2430"/>
      <c r="G6" s="2430"/>
      <c r="H6" s="2430"/>
      <c r="I6" s="1832"/>
    </row>
    <row r="7" spans="1:12" ht="12.75">
      <c r="A7" s="3189"/>
      <c r="B7" s="3115"/>
      <c r="C7" s="3220"/>
      <c r="D7" s="3207"/>
      <c r="E7" s="140" t="s">
        <v>2125</v>
      </c>
      <c r="F7" s="2430"/>
      <c r="G7" s="2430"/>
      <c r="H7" s="2430"/>
      <c r="I7" s="1832"/>
    </row>
    <row r="8" spans="1:12" ht="12.75">
      <c r="A8" s="3189" t="s">
        <v>2126</v>
      </c>
      <c r="B8" s="3115">
        <v>15</v>
      </c>
      <c r="C8" s="3219"/>
      <c r="D8" s="3207"/>
      <c r="E8" s="140" t="s">
        <v>2127</v>
      </c>
      <c r="F8" s="2430"/>
      <c r="G8" s="2430"/>
      <c r="H8" s="2430"/>
      <c r="I8" s="1832"/>
    </row>
    <row r="9" spans="1:12" ht="12.75">
      <c r="A9" s="3189"/>
      <c r="B9" s="3115"/>
      <c r="C9" s="3220"/>
      <c r="D9" s="3207"/>
      <c r="E9" s="140" t="s">
        <v>2128</v>
      </c>
      <c r="F9" s="2430"/>
      <c r="G9" s="2430"/>
      <c r="H9" s="2430"/>
      <c r="I9" s="1832"/>
    </row>
    <row r="10" spans="1:12" ht="12.75">
      <c r="A10" s="3189" t="s">
        <v>2129</v>
      </c>
      <c r="B10" s="3115">
        <v>15</v>
      </c>
      <c r="C10" s="3219"/>
      <c r="D10" s="3207"/>
      <c r="E10" s="140" t="s">
        <v>2130</v>
      </c>
      <c r="F10" s="2430"/>
      <c r="G10" s="2430"/>
      <c r="H10" s="2430"/>
      <c r="I10" s="1832"/>
    </row>
    <row r="11" spans="1:12" ht="12.75">
      <c r="A11" s="3189"/>
      <c r="B11" s="3115"/>
      <c r="C11" s="3220"/>
      <c r="D11" s="3207"/>
      <c r="E11" s="140" t="s">
        <v>2131</v>
      </c>
      <c r="F11" s="2430"/>
      <c r="G11" s="2430"/>
      <c r="H11" s="2430"/>
      <c r="I11" s="1832"/>
    </row>
    <row r="12" spans="1:12" ht="12.75">
      <c r="A12" s="3189" t="s">
        <v>2132</v>
      </c>
      <c r="B12" s="3115">
        <v>15</v>
      </c>
      <c r="C12" s="3219"/>
      <c r="D12" s="3207"/>
      <c r="E12" s="140" t="s">
        <v>2133</v>
      </c>
      <c r="F12" s="2430"/>
      <c r="G12" s="2430"/>
      <c r="H12" s="2430"/>
      <c r="I12" s="1832"/>
    </row>
    <row r="13" spans="1:12" ht="12.75">
      <c r="A13" s="3189"/>
      <c r="B13" s="3115"/>
      <c r="C13" s="3220"/>
      <c r="D13" s="3207"/>
      <c r="E13" s="140" t="s">
        <v>2134</v>
      </c>
      <c r="F13" s="2430"/>
      <c r="G13" s="2430"/>
      <c r="H13" s="2430"/>
      <c r="I13" s="1832"/>
    </row>
    <row r="14" spans="1:12" ht="12.75">
      <c r="A14" s="3189" t="s">
        <v>2135</v>
      </c>
      <c r="B14" s="3115">
        <v>30</v>
      </c>
      <c r="C14" s="3219">
        <v>1</v>
      </c>
      <c r="D14" s="3207">
        <f>1-C14</f>
        <v>0</v>
      </c>
      <c r="E14" s="140" t="s">
        <v>2136</v>
      </c>
      <c r="F14" s="2430"/>
      <c r="G14" s="2430"/>
      <c r="H14" s="2430"/>
      <c r="I14" s="1832"/>
    </row>
    <row r="15" spans="1:12" ht="12.75">
      <c r="A15" s="3189"/>
      <c r="B15" s="3115"/>
      <c r="C15" s="3221"/>
      <c r="D15" s="3207"/>
      <c r="E15" s="140" t="s">
        <v>2137</v>
      </c>
      <c r="F15" s="2430"/>
      <c r="G15" s="2430"/>
      <c r="H15" s="2430"/>
      <c r="I15" s="1832"/>
    </row>
    <row r="16" spans="1:12" ht="12.75">
      <c r="A16" s="3189"/>
      <c r="B16" s="3115"/>
      <c r="C16" s="3220"/>
      <c r="D16" s="3207"/>
      <c r="E16" s="140" t="s">
        <v>2138</v>
      </c>
      <c r="F16" s="2430"/>
      <c r="G16" s="2430"/>
      <c r="H16" s="2430"/>
      <c r="I16" s="1832"/>
    </row>
    <row r="17" spans="1:35" ht="15">
      <c r="A17" s="2431" t="s">
        <v>2139</v>
      </c>
      <c r="B17" s="64"/>
      <c r="C17" s="141">
        <f>SUM(C5:C16)</f>
        <v>1</v>
      </c>
      <c r="D17" s="141">
        <f>SUM(D5:D16)</f>
        <v>0</v>
      </c>
      <c r="E17" s="138"/>
      <c r="F17" s="138"/>
      <c r="G17" s="138"/>
      <c r="H17" s="138"/>
      <c r="I17" s="138"/>
      <c r="K17" s="2429"/>
      <c r="L17" s="2432" t="s">
        <v>2140</v>
      </c>
      <c r="M17" s="2432" t="s">
        <v>2141</v>
      </c>
    </row>
    <row r="18" spans="1:35" ht="15.75" thickBot="1">
      <c r="A18" s="2433" t="s">
        <v>2142</v>
      </c>
      <c r="B18" s="2434"/>
      <c r="C18" s="142">
        <f>ROUND(C17/SUM(C17:D17),2)</f>
        <v>1</v>
      </c>
      <c r="D18" s="142">
        <f>1-C18</f>
        <v>0</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 (计算净值)'!B19,INDIRECT("'"&amp;C4&amp;"'"&amp;"!B:B"))</f>
        <v>6716</v>
      </c>
      <c r="D19" s="144">
        <f ca="1">SUMIF(INDIRECT("'"&amp;D4&amp;"'"&amp;"!A:A"),'结果表 (计算净值)'!B19,INDIRECT("'"&amp;D4&amp;"'"&amp;"!B:B"))</f>
        <v>6716</v>
      </c>
      <c r="E19" s="2435" t="s">
        <v>2146</v>
      </c>
      <c r="F19" s="2436" t="s">
        <v>2145</v>
      </c>
      <c r="G19" s="145">
        <f ca="1">ROUND(C19*$C$18+D19*$D$18,0)</f>
        <v>6716</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 (计算净值)'!B20,INDIRECT("'"&amp;C4&amp;"'"&amp;"!B:B"))</f>
        <v>26901</v>
      </c>
      <c r="D20" s="147">
        <f ca="1">SUMIF(INDIRECT("'"&amp;D4&amp;"'"&amp;"!A:A"),'结果表 (计算净值)'!B20,INDIRECT("'"&amp;D4&amp;"'"&amp;"!B:B"))</f>
        <v>26901</v>
      </c>
      <c r="E20" s="2438"/>
      <c r="F20" s="1248" t="s">
        <v>2149</v>
      </c>
      <c r="G20" s="148">
        <f ca="1">ROUND(C20*$C$18+D20*$D$18,0)</f>
        <v>26901</v>
      </c>
      <c r="H20" s="981" t="s">
        <v>2150</v>
      </c>
      <c r="I20" s="138"/>
    </row>
    <row r="21" spans="1:35" ht="15" customHeight="1" thickBot="1">
      <c r="A21" s="1001"/>
      <c r="B21" s="2439" t="s">
        <v>2151</v>
      </c>
      <c r="C21" s="787">
        <f ca="1">ROUND(C19*10000/L19,0)</f>
        <v>59869</v>
      </c>
      <c r="D21" s="788">
        <f ca="1">ROUND(D19*10000/L19,0)</f>
        <v>59869</v>
      </c>
      <c r="E21" s="1001"/>
      <c r="F21" s="2439" t="s">
        <v>2151</v>
      </c>
      <c r="G21" s="149">
        <f ca="1">ROUND(G19*10000/L19,0)</f>
        <v>59869</v>
      </c>
      <c r="H21" s="2440" t="s">
        <v>2150</v>
      </c>
      <c r="I21" s="138"/>
    </row>
    <row r="22" spans="1:35" ht="15" thickBot="1">
      <c r="A22" s="2281" t="s">
        <v>2152</v>
      </c>
      <c r="B22" s="2441"/>
      <c r="C22" s="2442"/>
      <c r="D22" s="789">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228" t="s">
        <v>2153</v>
      </c>
      <c r="B24" s="2436" t="s">
        <v>2145</v>
      </c>
      <c r="C24" s="145">
        <f>IF(B30=0,0,D30)</f>
        <v>0</v>
      </c>
      <c r="D24" s="2443"/>
      <c r="E24" s="138"/>
      <c r="F24" s="138"/>
      <c r="G24" s="138"/>
      <c r="H24" s="138"/>
      <c r="I24" s="138"/>
    </row>
    <row r="25" spans="1:35" ht="14.25">
      <c r="A25" s="3229"/>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6716</v>
      </c>
      <c r="D32" s="2450" t="s">
        <v>2160</v>
      </c>
      <c r="E32" s="138"/>
      <c r="F32" s="138"/>
      <c r="G32" s="138"/>
      <c r="H32" s="138"/>
      <c r="I32" s="138"/>
    </row>
    <row r="33" spans="1:15" ht="15">
      <c r="A33" s="958" t="s">
        <v>2161</v>
      </c>
      <c r="B33" s="2451"/>
      <c r="C33" s="2452" t="s">
        <v>3188</v>
      </c>
      <c r="D33" s="2453" t="s">
        <v>3185</v>
      </c>
      <c r="E33" s="2454" t="s">
        <v>2162</v>
      </c>
      <c r="F33" s="3033" t="str">
        <f>IF(D32="楼面单价","取值（单价）","取值（总价）")</f>
        <v>取值（总价）</v>
      </c>
      <c r="G33" s="138"/>
      <c r="H33" s="138"/>
      <c r="I33" s="138"/>
    </row>
    <row r="34" spans="1:15" ht="15">
      <c r="A34" s="2456"/>
      <c r="B34" s="2457" t="s">
        <v>2163</v>
      </c>
      <c r="C34" s="157">
        <f ca="1">IF(C33="自定义",F34,C32-C35)</f>
        <v>4836</v>
      </c>
      <c r="D34" s="1056">
        <f ca="1">IF(C33="自定义",ROUND(C34/C32,3),IF(C33="收益比率",SUMIF(INDIRECT("'"&amp;D33&amp;"'"&amp;"!b:b"),"土地收益比率",INDIRECT("'"&amp;D33&amp;"'"&amp;"!c:c")),SUMIF(INDIRECT("'"&amp;D33&amp;"'"&amp;"!b:b"),"土地成本比率",INDIRECT("'"&amp;D33&amp;"'"&amp;"!c:c"))))</f>
        <v>0.72</v>
      </c>
      <c r="E34" s="2458" t="s">
        <v>2164</v>
      </c>
      <c r="F34" s="1737"/>
      <c r="G34" s="138"/>
      <c r="H34" s="138"/>
      <c r="I34" s="138"/>
    </row>
    <row r="35" spans="1:15" ht="15.75" thickBot="1">
      <c r="A35" s="2459"/>
      <c r="B35" s="2460" t="s">
        <v>2165</v>
      </c>
      <c r="C35" s="1442">
        <f ca="1">IF(C33="自定义",F35,ROUND(C32*D35,0))</f>
        <v>1880</v>
      </c>
      <c r="D35" s="1443">
        <f ca="1">IF(C33="自定义",ROUND(C35/C32,3),IF(C33="收益比率",SUMIF(INDIRECT("'"&amp;D33&amp;"'"&amp;"!b:b"),"建筑物收益比率",INDIRECT("'"&amp;D33&amp;"'"&amp;"!c:c")),SUMIF(INDIRECT("'"&amp;D33&amp;"'"&amp;"!b:b"),"建筑物成本比率",INDIRECT("'"&amp;D33&amp;"'"&amp;"!c:c"))))</f>
        <v>0.28000000000000003</v>
      </c>
      <c r="E35" s="2461" t="s">
        <v>2166</v>
      </c>
      <c r="F35" s="163"/>
      <c r="G35" s="138"/>
      <c r="H35" s="138"/>
      <c r="I35" s="138"/>
    </row>
    <row r="36" spans="1:15" ht="15.75" thickBot="1">
      <c r="A36" s="3208" t="s">
        <v>2167</v>
      </c>
      <c r="B36" s="2462" t="s">
        <v>2168</v>
      </c>
      <c r="C36" s="154"/>
      <c r="D36" s="2463"/>
      <c r="E36" s="2464"/>
      <c r="F36" s="2465"/>
      <c r="G36" s="138"/>
      <c r="H36" s="138"/>
      <c r="I36" s="138"/>
    </row>
    <row r="37" spans="1:15" ht="15.75" thickBot="1">
      <c r="A37" s="3209"/>
      <c r="B37" s="2267" t="s">
        <v>2169</v>
      </c>
      <c r="C37" s="156"/>
      <c r="D37" s="1393"/>
      <c r="E37" s="1393"/>
      <c r="F37" s="2465"/>
      <c r="G37" s="138"/>
      <c r="H37" s="138"/>
      <c r="I37" s="138"/>
    </row>
    <row r="38" spans="1:15" ht="15.75" thickBot="1">
      <c r="A38" s="3210"/>
      <c r="B38" s="2466" t="s">
        <v>2170</v>
      </c>
      <c r="C38" s="725"/>
      <c r="D38" s="2467" t="s">
        <v>2171</v>
      </c>
      <c r="E38" s="1393"/>
      <c r="F38" s="2465"/>
      <c r="G38" s="138"/>
      <c r="H38" s="138"/>
      <c r="I38" s="138"/>
    </row>
    <row r="39" spans="1:15" ht="15">
      <c r="A39" s="2438" t="s">
        <v>2172</v>
      </c>
      <c r="B39" s="2468" t="s">
        <v>2155</v>
      </c>
      <c r="C39" s="2469" t="s">
        <v>2156</v>
      </c>
      <c r="D39" s="2469" t="s">
        <v>2175</v>
      </c>
      <c r="E39" s="2470" t="s">
        <v>2157</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225" t="s">
        <v>2181</v>
      </c>
      <c r="B45" s="3226"/>
      <c r="C45" s="3227"/>
      <c r="D45" s="164">
        <f ca="1">ROUND(H101*F45,0)</f>
        <v>4298</v>
      </c>
      <c r="E45" s="165" t="s">
        <v>2182</v>
      </c>
      <c r="F45" s="166">
        <v>0.64</v>
      </c>
      <c r="G45" s="167" t="s">
        <v>2183</v>
      </c>
      <c r="H45" s="138"/>
      <c r="I45" s="138"/>
      <c r="J45" s="3144" t="s">
        <v>2184</v>
      </c>
      <c r="K45" s="3144"/>
      <c r="L45" s="3144"/>
      <c r="M45" s="3144"/>
      <c r="N45" s="3144"/>
      <c r="O45" s="3144"/>
    </row>
    <row r="46" spans="1:15" ht="14.25" customHeight="1">
      <c r="A46" s="3222" t="s">
        <v>2185</v>
      </c>
      <c r="B46" s="3223"/>
      <c r="C46" s="3223"/>
      <c r="D46" s="3223"/>
      <c r="E46" s="3223"/>
      <c r="F46" s="3223"/>
      <c r="G46" s="3224"/>
      <c r="H46" s="2481"/>
      <c r="I46" s="168"/>
      <c r="J46" s="3043">
        <v>1</v>
      </c>
      <c r="K46" s="3144" t="s">
        <v>2186</v>
      </c>
      <c r="L46" s="3144"/>
      <c r="M46" s="3145"/>
      <c r="N46" s="3145"/>
      <c r="O46" s="3145"/>
    </row>
    <row r="47" spans="1:15" ht="12" customHeight="1">
      <c r="A47" s="169" t="s">
        <v>2187</v>
      </c>
      <c r="B47" s="170"/>
      <c r="C47" s="171"/>
      <c r="D47" s="172" t="s">
        <v>2188</v>
      </c>
      <c r="E47" s="24" t="s">
        <v>2189</v>
      </c>
      <c r="F47" s="173" t="s">
        <v>2190</v>
      </c>
      <c r="G47" s="174" t="s">
        <v>2191</v>
      </c>
      <c r="H47" s="2481"/>
      <c r="I47" s="168"/>
      <c r="J47" s="3043">
        <v>2</v>
      </c>
      <c r="K47" s="3144" t="s">
        <v>2192</v>
      </c>
      <c r="L47" s="3144"/>
      <c r="M47" s="3146">
        <f>'数据-取费表'!B2</f>
        <v>43251</v>
      </c>
      <c r="N47" s="3146"/>
      <c r="O47" s="3146"/>
    </row>
    <row r="48" spans="1:15" ht="25.5">
      <c r="A48" s="3212" t="s">
        <v>2193</v>
      </c>
      <c r="B48" s="3213"/>
      <c r="C48" s="3213"/>
      <c r="D48" s="140">
        <f ca="1">IF(H48="情况1",0,IF(H48="情况2",D52,IF(H48="情况3",D53,IF(H48="情况4",D54))))</f>
        <v>229</v>
      </c>
      <c r="E48" s="3037" t="str">
        <f>IF(H48="情况4","(销售额-原购置价)×税（费）率","销售额×税（费）率")</f>
        <v>(销售额-原购置价)×税（费）率</v>
      </c>
      <c r="F48" s="175">
        <f>IF(H48="情况1","免征",'数据-取费表'!B41)</f>
        <v>5.6000000000000001E-2</v>
      </c>
      <c r="G48" s="2482" t="s">
        <v>2194</v>
      </c>
      <c r="H48" s="2483" t="s">
        <v>3189</v>
      </c>
      <c r="I48" s="2481"/>
      <c r="J48" s="3043">
        <v>3</v>
      </c>
      <c r="K48" s="3144" t="s">
        <v>2195</v>
      </c>
      <c r="L48" s="3144"/>
      <c r="M48" s="3147">
        <f ca="1">H101</f>
        <v>6716</v>
      </c>
      <c r="N48" s="3147"/>
      <c r="O48" s="3147"/>
    </row>
    <row r="49" spans="1:35" ht="25.5" customHeight="1">
      <c r="A49" s="176" t="s">
        <v>2196</v>
      </c>
      <c r="B49" s="3192" t="s">
        <v>2197</v>
      </c>
      <c r="C49" s="3192"/>
      <c r="D49" s="177">
        <v>0</v>
      </c>
      <c r="E49" s="23" t="s">
        <v>2198</v>
      </c>
      <c r="F49" s="28" t="s">
        <v>34</v>
      </c>
      <c r="G49" s="3173"/>
      <c r="H49" s="138"/>
      <c r="I49" s="2484"/>
      <c r="J49" s="3043">
        <v>4</v>
      </c>
      <c r="K49" s="3144" t="str">
        <f>IF(项目基本情况!E8="房地产抵押价值","房地产抵押价值","抵押担保权已注销时的房地产抵押价值")</f>
        <v>房地产抵押价值</v>
      </c>
      <c r="L49" s="3144"/>
      <c r="M49" s="3147">
        <f ca="1">IF(项目基本情况!E8="房地产抵押价值",H107,H109)</f>
        <v>6716</v>
      </c>
      <c r="N49" s="3147"/>
      <c r="O49" s="3147"/>
    </row>
    <row r="50" spans="1:35" ht="25.5" customHeight="1">
      <c r="A50" s="178"/>
      <c r="B50" s="3192" t="s">
        <v>2199</v>
      </c>
      <c r="C50" s="3192"/>
      <c r="D50" s="179"/>
      <c r="E50" s="31"/>
      <c r="F50" s="180"/>
      <c r="G50" s="3174"/>
      <c r="H50" s="138"/>
      <c r="I50" s="2484"/>
      <c r="J50" s="3144" t="s">
        <v>2200</v>
      </c>
      <c r="K50" s="3144"/>
      <c r="L50" s="3144"/>
      <c r="M50" s="3144"/>
      <c r="N50" s="3144"/>
      <c r="O50" s="3144"/>
    </row>
    <row r="51" spans="1:35" ht="12" customHeight="1">
      <c r="A51" s="181"/>
      <c r="B51" s="3192" t="s">
        <v>2201</v>
      </c>
      <c r="C51" s="3192"/>
      <c r="D51" s="182"/>
      <c r="E51" s="30"/>
      <c r="F51" s="180"/>
      <c r="G51" s="3175"/>
      <c r="H51" s="138"/>
      <c r="I51" s="2484"/>
      <c r="J51" s="3042" t="s">
        <v>2202</v>
      </c>
      <c r="K51" s="3144" t="s">
        <v>2203</v>
      </c>
      <c r="L51" s="3144"/>
      <c r="M51" s="3042" t="s">
        <v>2204</v>
      </c>
      <c r="N51" s="3042" t="s">
        <v>2205</v>
      </c>
      <c r="O51" s="3042" t="s">
        <v>2206</v>
      </c>
    </row>
    <row r="52" spans="1:35" ht="24" customHeight="1">
      <c r="A52" s="183" t="s">
        <v>2207</v>
      </c>
      <c r="B52" s="3192" t="s">
        <v>2208</v>
      </c>
      <c r="C52" s="3192"/>
      <c r="D52" s="182">
        <f ca="1">ROUND(D45*'数据-取费表'!B41/(1+'数据-取费表'!C42),0)</f>
        <v>229</v>
      </c>
      <c r="E52" s="11" t="s">
        <v>2209</v>
      </c>
      <c r="F52" s="184">
        <f>'数据-取费表'!B41</f>
        <v>5.6000000000000001E-2</v>
      </c>
      <c r="G52" s="2486"/>
      <c r="H52" s="138"/>
      <c r="I52" s="2484"/>
      <c r="J52" s="3043">
        <v>1</v>
      </c>
      <c r="K52" s="3167" t="s">
        <v>2210</v>
      </c>
      <c r="L52" s="3167"/>
      <c r="M52" s="1752">
        <f ca="1">D48</f>
        <v>229</v>
      </c>
      <c r="N52" s="3043" t="str">
        <f>E48</f>
        <v>(销售额-原购置价)×税（费）率</v>
      </c>
      <c r="O52" s="1753">
        <f>F48</f>
        <v>5.6000000000000001E-2</v>
      </c>
    </row>
    <row r="53" spans="1:35" ht="12" customHeight="1">
      <c r="A53" s="183" t="s">
        <v>2211</v>
      </c>
      <c r="B53" s="3193" t="s">
        <v>2212</v>
      </c>
      <c r="C53" s="3194"/>
      <c r="D53" s="182">
        <f ca="1">ROUND(D45*'数据-取费表'!B41/(1+'数据-取费表'!C42),0)</f>
        <v>229</v>
      </c>
      <c r="E53" s="11" t="s">
        <v>2209</v>
      </c>
      <c r="F53" s="184">
        <f>'数据-取费表'!B41</f>
        <v>5.6000000000000001E-2</v>
      </c>
      <c r="G53" s="2486"/>
      <c r="H53" s="138"/>
      <c r="I53" s="2484"/>
      <c r="J53" s="3043">
        <v>2</v>
      </c>
      <c r="K53" s="3167" t="s">
        <v>2213</v>
      </c>
      <c r="L53" s="3167"/>
      <c r="M53" s="1752">
        <f t="shared" ref="M53:O54" ca="1" si="0">D55</f>
        <v>2</v>
      </c>
      <c r="N53" s="3043" t="str">
        <f t="shared" si="0"/>
        <v>销售额×税（费）率</v>
      </c>
      <c r="O53" s="1753">
        <f t="shared" si="0"/>
        <v>5.0000000000000001E-4</v>
      </c>
    </row>
    <row r="54" spans="1:35" ht="12" customHeight="1">
      <c r="A54" s="183" t="s">
        <v>2214</v>
      </c>
      <c r="B54" s="3193" t="s">
        <v>2215</v>
      </c>
      <c r="C54" s="3194"/>
      <c r="D54" s="182">
        <f ca="1">C68</f>
        <v>229</v>
      </c>
      <c r="E54" s="30" t="s">
        <v>2216</v>
      </c>
      <c r="F54" s="184">
        <f>'数据-取费表'!B41</f>
        <v>5.6000000000000001E-2</v>
      </c>
      <c r="G54" s="2486"/>
      <c r="H54" s="2487"/>
      <c r="I54" s="2484"/>
      <c r="J54" s="3043">
        <v>3</v>
      </c>
      <c r="K54" s="3167" t="s">
        <v>2217</v>
      </c>
      <c r="L54" s="3167"/>
      <c r="M54" s="1752">
        <f t="shared" ca="1" si="0"/>
        <v>0</v>
      </c>
      <c r="N54" s="3043" t="str">
        <f t="shared" si="0"/>
        <v>增值额×税（费）率</v>
      </c>
      <c r="O54" s="1754" t="str">
        <f t="shared" si="0"/>
        <v>——</v>
      </c>
    </row>
    <row r="55" spans="1:35" ht="24" customHeight="1">
      <c r="A55" s="3231" t="s">
        <v>2218</v>
      </c>
      <c r="B55" s="3213"/>
      <c r="C55" s="3213"/>
      <c r="D55" s="185">
        <f ca="1">IF(H55="个人住宅",0,ROUND(D45*I55,0))</f>
        <v>2</v>
      </c>
      <c r="E55" s="11" t="s">
        <v>2219</v>
      </c>
      <c r="F55" s="184">
        <f>IF(H55="正常",I55,"免征")</f>
        <v>5.0000000000000001E-4</v>
      </c>
      <c r="G55" s="2486"/>
      <c r="H55" s="2483" t="s">
        <v>2220</v>
      </c>
      <c r="I55" s="186">
        <f>'数据-取费表'!B49</f>
        <v>5.0000000000000001E-4</v>
      </c>
      <c r="J55" s="3043" t="str">
        <f>IF(H59="非个人房产","",4)</f>
        <v/>
      </c>
      <c r="K55" s="3167" t="str">
        <f>IF(H59="非个人房产","——","个人所得税")</f>
        <v>——</v>
      </c>
      <c r="L55" s="3167"/>
      <c r="M55" s="1755" t="str">
        <f>D59</f>
        <v>——</v>
      </c>
      <c r="N55" s="3044" t="str">
        <f>E59</f>
        <v>——</v>
      </c>
      <c r="O55" s="1756" t="str">
        <f>F59</f>
        <v>——</v>
      </c>
    </row>
    <row r="56" spans="1:35" ht="24.75">
      <c r="A56" s="3231" t="s">
        <v>2221</v>
      </c>
      <c r="B56" s="3213"/>
      <c r="C56" s="3213"/>
      <c r="D56" s="185">
        <f ca="1">IF(H56="个人住宅",D57,D58)</f>
        <v>0</v>
      </c>
      <c r="E56" s="11" t="s">
        <v>2222</v>
      </c>
      <c r="F56" s="184" t="str">
        <f>IF(H56="正常",F58,"免征")</f>
        <v>——</v>
      </c>
      <c r="G56" s="2488" t="s">
        <v>2223</v>
      </c>
      <c r="H56" s="2489" t="s">
        <v>2220</v>
      </c>
      <c r="I56" s="2490"/>
      <c r="J56" s="3043" t="str">
        <f>IF(项目基本情况!K6="上海银行",IF(J55="",4,J55+1),"")</f>
        <v/>
      </c>
      <c r="K56" s="3150" t="str">
        <f>IF(项目基本情况!K6="上海银行","其他处置费用","")</f>
        <v/>
      </c>
      <c r="L56" s="3151"/>
      <c r="M56" s="1752" t="str">
        <f>IF(项目基本情况!K6="上海银行",M69,"")</f>
        <v/>
      </c>
      <c r="N56" s="3153" t="str">
        <f>IF(项目基本情况!K6="上海银行","包含处置中涉及的律师、诉讼、拍卖、评估等费用","")</f>
        <v/>
      </c>
      <c r="O56" s="3154"/>
    </row>
    <row r="57" spans="1:35" ht="12.75">
      <c r="A57" s="183" t="s">
        <v>2196</v>
      </c>
      <c r="B57" s="3198" t="s">
        <v>2224</v>
      </c>
      <c r="C57" s="3199"/>
      <c r="D57" s="187">
        <v>0</v>
      </c>
      <c r="E57" s="23" t="s">
        <v>2198</v>
      </c>
      <c r="F57" s="155"/>
      <c r="G57" s="2486"/>
      <c r="H57" s="2490"/>
      <c r="I57" s="2490"/>
      <c r="J57" s="3167">
        <f>IF(AND(J55="",J56=""),4,IF(项目基本情况!K6="上海银行",'结果表 (计算净值)'!J56+1,'结果表 (计算净值)'!J55+1))</f>
        <v>4</v>
      </c>
      <c r="K57" s="3167" t="s">
        <v>2225</v>
      </c>
      <c r="L57" s="2491" t="s">
        <v>2226</v>
      </c>
      <c r="M57" s="1757"/>
      <c r="N57" s="1758">
        <f ca="1">SUMIF(M52:M56,"&lt;9e307")</f>
        <v>231</v>
      </c>
      <c r="O57" s="2492"/>
      <c r="P57" s="1751">
        <f ca="1">N57/M49</f>
        <v>3.4395473496128648E-2</v>
      </c>
    </row>
    <row r="58" spans="1:35" ht="24.75">
      <c r="A58" s="183" t="s">
        <v>2207</v>
      </c>
      <c r="B58" s="3198" t="s">
        <v>2227</v>
      </c>
      <c r="C58" s="3211"/>
      <c r="D58" s="185">
        <f ca="1">IF(H58="转让取得",C81,C97)</f>
        <v>0</v>
      </c>
      <c r="E58" s="11" t="s">
        <v>2222</v>
      </c>
      <c r="F58" s="24" t="s">
        <v>34</v>
      </c>
      <c r="G58" s="2486"/>
      <c r="H58" s="2489" t="s">
        <v>3190</v>
      </c>
      <c r="I58" s="2490"/>
      <c r="J58" s="3167"/>
      <c r="K58" s="3167"/>
      <c r="L58" s="2491" t="s">
        <v>2228</v>
      </c>
      <c r="M58" s="1759"/>
      <c r="N58" s="2493" t="str">
        <f ca="1">NUMBERSTRING(INT(N57*10000),2)&amp;"元整"</f>
        <v>贰佰叁拾壹万元整</v>
      </c>
      <c r="O58" s="2494"/>
    </row>
    <row r="59" spans="1:35" ht="24.75" thickBot="1">
      <c r="A59" s="3171" t="s">
        <v>2229</v>
      </c>
      <c r="B59" s="3172"/>
      <c r="C59" s="3172"/>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69">
        <f>J57+1</f>
        <v>5</v>
      </c>
      <c r="K59" s="3167" t="s">
        <v>2231</v>
      </c>
      <c r="L59" s="3043" t="s">
        <v>2226</v>
      </c>
      <c r="M59" s="1760"/>
      <c r="N59" s="1761">
        <f ca="1">M49-N57</f>
        <v>6485</v>
      </c>
      <c r="O59" s="2496"/>
    </row>
    <row r="60" spans="1:35" ht="12" customHeight="1">
      <c r="A60" s="2497"/>
      <c r="B60" s="2419"/>
      <c r="C60" s="2419"/>
      <c r="D60" s="2419"/>
      <c r="E60" s="2166"/>
      <c r="F60" s="2490"/>
      <c r="G60" s="2490"/>
      <c r="H60" s="2498"/>
      <c r="I60" s="138"/>
      <c r="J60" s="3170"/>
      <c r="K60" s="3167"/>
      <c r="L60" s="2491" t="s">
        <v>2228</v>
      </c>
      <c r="M60" s="1759"/>
      <c r="N60" s="2493" t="str">
        <f ca="1">NUMBERSTRING(INT(N59*10000),2)&amp;"元整"</f>
        <v>陆仟肆佰捌拾伍万元整</v>
      </c>
      <c r="O60" s="2494"/>
    </row>
    <row r="61" spans="1:35" ht="13.5" thickBot="1">
      <c r="A61" s="3230" t="s">
        <v>2232</v>
      </c>
      <c r="B61" s="3230"/>
      <c r="C61" s="3230"/>
      <c r="D61" s="3230"/>
      <c r="E61" s="3230"/>
      <c r="F61" s="2490"/>
      <c r="G61" s="2490"/>
      <c r="H61" s="2498"/>
      <c r="I61" s="138"/>
      <c r="J61" s="3043">
        <f>J59+1</f>
        <v>6</v>
      </c>
      <c r="K61" s="3167" t="s">
        <v>2233</v>
      </c>
      <c r="L61" s="3167"/>
      <c r="M61" s="1762"/>
      <c r="N61" s="1763">
        <f ca="1">ROUND(N59*10000/'数据-汇总表'!E3,0)</f>
        <v>25975</v>
      </c>
      <c r="O61" s="2499"/>
    </row>
    <row r="62" spans="1:35" ht="12.75">
      <c r="A62" s="3187" t="s">
        <v>2234</v>
      </c>
      <c r="B62" s="3188"/>
      <c r="C62" s="3040"/>
      <c r="D62" s="3040" t="s">
        <v>2235</v>
      </c>
      <c r="E62" s="192" t="s">
        <v>2236</v>
      </c>
      <c r="F62" s="2490"/>
      <c r="G62" s="2490"/>
      <c r="H62" s="2498"/>
      <c r="I62" s="138"/>
    </row>
    <row r="63" spans="1:35" ht="12.75">
      <c r="A63" s="203" t="s">
        <v>775</v>
      </c>
      <c r="B63" s="193" t="s">
        <v>2237</v>
      </c>
      <c r="C63" s="194">
        <f ca="1">ROUND((C64+C65)/(1+'数据-取费表'!C42),0)</f>
        <v>4093</v>
      </c>
      <c r="D63" s="195"/>
      <c r="E63" s="196"/>
      <c r="F63" s="2490"/>
      <c r="G63" s="2490"/>
      <c r="H63" s="2498"/>
      <c r="I63" s="138"/>
      <c r="J63" s="3152" t="s">
        <v>2238</v>
      </c>
      <c r="K63" s="3045" t="s">
        <v>2239</v>
      </c>
      <c r="L63" s="1750">
        <f ca="1">IF(M49&gt;10000,M49*0.5%,IF(AND(M49&gt;1000,M49&lt;=10000),M49*1%,IF(AND(M49&gt;100,M49&lt;=1000),M49*3%,IF(AND(M49&gt;10,M49&lt;=100),M49*5%,M49*8%))))</f>
        <v>67.16</v>
      </c>
      <c r="M63" s="24">
        <f ca="1">ROUND(L63,1)</f>
        <v>67.2</v>
      </c>
      <c r="Z63" s="2424"/>
      <c r="AI63" s="2425"/>
    </row>
    <row r="64" spans="1:35" ht="14.25" customHeight="1">
      <c r="A64" s="197" t="s">
        <v>770</v>
      </c>
      <c r="B64" s="198" t="s">
        <v>2240</v>
      </c>
      <c r="C64" s="199">
        <f ca="1">D45</f>
        <v>4298</v>
      </c>
      <c r="D64" s="200" t="s">
        <v>32</v>
      </c>
      <c r="E64" s="201"/>
      <c r="F64" s="2490"/>
      <c r="G64" s="2490"/>
      <c r="H64" s="2498"/>
      <c r="I64" s="138"/>
      <c r="J64" s="3152"/>
      <c r="K64" s="3045" t="s">
        <v>2241</v>
      </c>
      <c r="L64" s="1750">
        <f ca="1">IF(M49&gt;2000,M49*0.5%,IF(AND(M49&gt;1000,M49&lt;=2000),M49*0.6%,IF(AND(M49&gt;500,M49&lt;=1000),M49*0.7%,IF(AND(M49&gt;200,M49&lt;=500),M49*0.8%,IF(AND(M49&gt;100,M49&lt;=200),M49*0.9%,IF(AND(M49&gt;50,M49&lt;=100),M49*1%,IF(AND(M49&gt;20,M49&lt;=50),M49*1.5%,IF(AND(M49&gt;10,M49&lt;=20),M49*2%,IF(AND(M49&gt;1,M49&lt;=10),M49*2.5%)))))))))</f>
        <v>33.58</v>
      </c>
      <c r="M64" s="24">
        <f t="shared" ref="M64:M65" ca="1" si="1">ROUND(L64,1)</f>
        <v>33.6</v>
      </c>
      <c r="N64" s="138" t="s">
        <v>2242</v>
      </c>
      <c r="Z64" s="2424"/>
      <c r="AI64" s="2425"/>
    </row>
    <row r="65" spans="1:35" ht="14.25" customHeight="1">
      <c r="A65" s="197" t="s">
        <v>771</v>
      </c>
      <c r="B65" s="198" t="s">
        <v>2243</v>
      </c>
      <c r="C65" s="202"/>
      <c r="D65" s="200"/>
      <c r="E65" s="201"/>
      <c r="F65" s="2490"/>
      <c r="G65" s="2490"/>
      <c r="H65" s="2498"/>
      <c r="I65" s="138"/>
      <c r="J65" s="3152"/>
      <c r="K65" s="3045" t="s">
        <v>2244</v>
      </c>
      <c r="L65" s="1750">
        <f ca="1">IF(M49&gt;1000,M49*0.1%,IF(AND(M49&gt;500,M49&lt;=1000),M49*0.5%,IF(AND(M49&gt;50,M49&lt;=500),M49*1%,IF(AND(M49&gt;1,M49&lt;=50),M49*1.5%))))</f>
        <v>6.7160000000000002</v>
      </c>
      <c r="M65" s="24">
        <f t="shared" ca="1" si="1"/>
        <v>6.7</v>
      </c>
      <c r="N65" s="138" t="s">
        <v>2242</v>
      </c>
      <c r="Z65" s="2424"/>
      <c r="AI65" s="2425"/>
    </row>
    <row r="66" spans="1:35" ht="14.25" customHeight="1">
      <c r="A66" s="203" t="s">
        <v>772</v>
      </c>
      <c r="B66" s="204" t="s">
        <v>2245</v>
      </c>
      <c r="C66" s="205"/>
      <c r="D66" s="206" t="s">
        <v>32</v>
      </c>
      <c r="E66" s="1774" t="s">
        <v>1371</v>
      </c>
      <c r="F66" s="2490"/>
      <c r="G66" s="2490"/>
      <c r="H66" s="2498"/>
      <c r="I66" s="138"/>
      <c r="J66" s="3152"/>
      <c r="K66" s="3045" t="s">
        <v>2246</v>
      </c>
      <c r="L66" s="1750">
        <f ca="1">M49*0.5%</f>
        <v>33.58</v>
      </c>
      <c r="M66" s="24">
        <f ca="1">IF(L66&gt;0.5,0.5,ROUND(L66,0))</f>
        <v>0.5</v>
      </c>
      <c r="N66" s="138" t="s">
        <v>2247</v>
      </c>
      <c r="Z66" s="2424"/>
      <c r="AI66" s="2425"/>
    </row>
    <row r="67" spans="1:35" ht="14.25" customHeight="1">
      <c r="A67" s="203" t="s">
        <v>773</v>
      </c>
      <c r="B67" s="204" t="s">
        <v>2248</v>
      </c>
      <c r="C67" s="207">
        <f ca="1">C63-C66</f>
        <v>4093</v>
      </c>
      <c r="D67" s="200" t="s">
        <v>32</v>
      </c>
      <c r="E67" s="201"/>
      <c r="F67" s="2490"/>
      <c r="G67" s="2490"/>
      <c r="H67" s="2498"/>
      <c r="I67" s="138"/>
      <c r="J67" s="3152"/>
      <c r="K67" s="3045" t="s">
        <v>2249</v>
      </c>
      <c r="L67" s="1750">
        <f ca="1">IF(M49&gt;=10000,(8.25+(M49-10000)*0.01%),IF(AND(M49&gt;=8000,M49&lt;10000),(7.85+(M49-8000)*0.02%),IF(AND(M49&gt;=5000,M49&lt;8000),(6.65+(M49-5000)*0.04%),IF(AND(M49&gt;=2000,M49&lt;5000),(4.25+(PM49-2000)*0.08%),IF(AND(M49&gt;=1000,M49&lt;2000),(2.75+(M49-1000)*0.15%),IF(AND(M49&gt;=100,M49&lt;1000),(0.5+(M49-100)*0.25%),IF(AND(M49&gt;0,M49&lt;100),M49*0.5%)))))))</f>
        <v>7.3364000000000003</v>
      </c>
      <c r="M67" s="24">
        <f ca="1">ROUND(L67*0.9,1)</f>
        <v>6.6</v>
      </c>
      <c r="Z67" s="2424"/>
      <c r="AI67" s="2425"/>
    </row>
    <row r="68" spans="1:35" ht="14.25" customHeight="1" thickBot="1">
      <c r="A68" s="208" t="s">
        <v>774</v>
      </c>
      <c r="B68" s="209" t="s">
        <v>2250</v>
      </c>
      <c r="C68" s="210">
        <f ca="1">IF(C67&lt;=0,0,ROUND(C67*D68,0))</f>
        <v>229</v>
      </c>
      <c r="D68" s="211">
        <f>'数据-取费表'!B41</f>
        <v>5.6000000000000001E-2</v>
      </c>
      <c r="E68" s="212"/>
      <c r="F68" s="2490"/>
      <c r="G68" s="2490"/>
      <c r="H68" s="2498"/>
      <c r="I68" s="138"/>
      <c r="J68" s="3152"/>
      <c r="K68" s="3045" t="s">
        <v>2251</v>
      </c>
      <c r="L68" s="1750">
        <f ca="1">IF(M49&gt;10000,M49*0.5%,IF(AND(M49&gt;5000,M49&lt;=10000),M49*1%,IF(AND(M49&gt;1000,M49&lt;=5000),M49*2%,IF(AND(M49&gt;200,M49&lt;=1000),M49*3%,M49*5%))))</f>
        <v>67.16</v>
      </c>
      <c r="M68" s="24">
        <f ca="1">ROUND(L68,1)</f>
        <v>67.2</v>
      </c>
      <c r="Z68" s="2424"/>
      <c r="AI68" s="2425"/>
    </row>
    <row r="69" spans="1:35" s="2447" customFormat="1" ht="16.5" customHeight="1">
      <c r="A69" s="2501"/>
      <c r="B69" s="2502"/>
      <c r="C69" s="2503"/>
      <c r="D69" s="2504"/>
      <c r="E69" s="2505"/>
      <c r="F69" s="2166"/>
      <c r="G69" s="2166"/>
      <c r="H69" s="2165"/>
      <c r="I69" s="2419"/>
      <c r="J69" s="3152"/>
      <c r="K69" s="3045" t="s">
        <v>2252</v>
      </c>
      <c r="L69" s="2506"/>
      <c r="M69" s="24">
        <f ca="1">ROUND(SUM(M63:M68),0)</f>
        <v>182</v>
      </c>
      <c r="N69" s="1751">
        <f ca="1">M69/M49</f>
        <v>2.7099463966646812E-2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96" t="s">
        <v>2253</v>
      </c>
      <c r="B70" s="3197"/>
      <c r="C70" s="3197"/>
      <c r="D70" s="3197"/>
      <c r="E70" s="3197"/>
      <c r="F70" s="3197"/>
      <c r="G70" s="3197"/>
      <c r="H70" s="31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87" t="s">
        <v>2234</v>
      </c>
      <c r="B71" s="3188"/>
      <c r="C71" s="3040"/>
      <c r="D71" s="3040"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4093</v>
      </c>
      <c r="D72" s="200" t="s">
        <v>32</v>
      </c>
      <c r="E72" s="3039"/>
      <c r="F72" s="3034"/>
      <c r="G72" s="303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7847</v>
      </c>
      <c r="D73" s="200" t="s">
        <v>32</v>
      </c>
      <c r="E73" s="3039"/>
      <c r="F73" s="3034"/>
      <c r="G73" s="303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3039"/>
      <c r="F74" s="3034"/>
      <c r="G74" s="303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3192</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93" t="s">
        <v>2261</v>
      </c>
      <c r="F76" s="3192"/>
      <c r="G76" s="3192"/>
      <c r="H76" s="31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3046" t="s">
        <v>2263</v>
      </c>
      <c r="F77" s="224"/>
      <c r="G77" s="2514" t="s">
        <v>3191</v>
      </c>
      <c r="H77" s="304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25</v>
      </c>
      <c r="D78" s="226">
        <f>'数据-取费表'!B43</f>
        <v>6.000000000000001E-3</v>
      </c>
      <c r="E78" s="3184" t="s">
        <v>2265</v>
      </c>
      <c r="F78" s="3185"/>
      <c r="G78" s="3185"/>
      <c r="H78" s="31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2266</v>
      </c>
      <c r="C79" s="207">
        <f ca="1">C72-C73</f>
        <v>-3754</v>
      </c>
      <c r="D79" s="200" t="s">
        <v>32</v>
      </c>
      <c r="E79" s="3039"/>
      <c r="F79" s="3034"/>
      <c r="G79" s="303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3046" t="str">
        <f ca="1">IF(C80&gt;=200%,"增值额超过扣除项目金额200%",IF(C80&gt;=100%,"增值额超过扣除项目金额100%，未超过200%",IF(C80&gt;=50%,"增值额超过扣除项目金额50%，未超过100%",IF(C80&lt;50%,"增值额未超过扣除项目金额50%"))))</f>
        <v>增值额未超过扣除项目金额50%</v>
      </c>
      <c r="F80" s="3034"/>
      <c r="G80" s="303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96" t="s">
        <v>2269</v>
      </c>
      <c r="B83" s="3197"/>
      <c r="C83" s="3197"/>
      <c r="D83" s="3197"/>
      <c r="E83" s="3197"/>
      <c r="F83" s="3197"/>
      <c r="G83" s="3197"/>
      <c r="H83" s="31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87" t="s">
        <v>2234</v>
      </c>
      <c r="B84" s="3188"/>
      <c r="C84" s="3040"/>
      <c r="D84" s="3040"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4093</v>
      </c>
      <c r="D85" s="200" t="s">
        <v>32</v>
      </c>
      <c r="E85" s="3039"/>
      <c r="F85" s="3034"/>
      <c r="G85" s="303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25</v>
      </c>
      <c r="D86" s="235"/>
      <c r="E86" s="3039"/>
      <c r="F86" s="3034"/>
      <c r="G86" s="303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3035"/>
      <c r="F87" s="3036"/>
      <c r="G87" s="3036"/>
      <c r="H87" s="303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3036"/>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3036"/>
      <c r="G89" s="3036"/>
      <c r="H89" s="303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3036"/>
      <c r="G90" s="3036"/>
      <c r="H90" s="303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84" t="s">
        <v>2278</v>
      </c>
      <c r="F91" s="3185"/>
      <c r="G91" s="3185"/>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84" t="s">
        <v>2282</v>
      </c>
      <c r="F92" s="3185"/>
      <c r="G92" s="3185"/>
      <c r="H92" s="31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25</v>
      </c>
      <c r="D93" s="226">
        <f>'数据-取费表'!B43</f>
        <v>6.000000000000001E-3</v>
      </c>
      <c r="E93" s="3184" t="s">
        <v>2265</v>
      </c>
      <c r="F93" s="3185"/>
      <c r="G93" s="3185"/>
      <c r="H93" s="31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32" t="s">
        <v>2286</v>
      </c>
      <c r="F94" s="3233"/>
      <c r="G94" s="3233"/>
      <c r="H94" s="32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2266</v>
      </c>
      <c r="C95" s="207">
        <f ca="1">ROUND(C85-C86,0)</f>
        <v>4068</v>
      </c>
      <c r="D95" s="200" t="s">
        <v>32</v>
      </c>
      <c r="E95" s="3039"/>
      <c r="F95" s="3034"/>
      <c r="G95" s="303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162.72</v>
      </c>
      <c r="D96" s="200"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34"/>
      <c r="G96" s="303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2432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36" t="s">
        <v>2288</v>
      </c>
      <c r="B100" s="3137"/>
      <c r="C100" s="3137"/>
      <c r="D100" s="3168"/>
      <c r="E100" s="3137" t="s">
        <v>2289</v>
      </c>
      <c r="F100" s="3137"/>
      <c r="G100" s="3137"/>
      <c r="H100" s="3168"/>
      <c r="I100" s="138"/>
    </row>
    <row r="101" spans="1:35" ht="18.75" customHeight="1">
      <c r="A101" s="3176" t="s">
        <v>2290</v>
      </c>
      <c r="B101" s="3177"/>
      <c r="C101" s="734" t="str">
        <f>C4</f>
        <v>典型户型修正</v>
      </c>
      <c r="D101" s="735" t="str">
        <f>D4</f>
        <v>典型户型修正</v>
      </c>
      <c r="E101" s="3148" t="s">
        <v>2291</v>
      </c>
      <c r="F101" s="3149"/>
      <c r="G101" s="2521" t="s">
        <v>2292</v>
      </c>
      <c r="H101" s="1046">
        <f ca="1">H118</f>
        <v>6716</v>
      </c>
      <c r="I101" s="138"/>
    </row>
    <row r="102" spans="1:35" ht="18.75" customHeight="1">
      <c r="A102" s="3178" t="s">
        <v>2293</v>
      </c>
      <c r="B102" s="2521" t="s">
        <v>2292</v>
      </c>
      <c r="C102" s="734">
        <f ca="1">C19</f>
        <v>6716</v>
      </c>
      <c r="D102" s="735">
        <f ca="1">D19</f>
        <v>6716</v>
      </c>
      <c r="E102" s="3148"/>
      <c r="F102" s="3149"/>
      <c r="G102" s="2521" t="s">
        <v>2294</v>
      </c>
      <c r="H102" s="371">
        <f ca="1">I118</f>
        <v>26901</v>
      </c>
      <c r="I102" s="138"/>
    </row>
    <row r="103" spans="1:35" ht="42.75" customHeight="1">
      <c r="A103" s="3178"/>
      <c r="B103" s="2521" t="s">
        <v>2294</v>
      </c>
      <c r="C103" s="736">
        <f ca="1">C20</f>
        <v>26901</v>
      </c>
      <c r="D103" s="737">
        <f ca="1">D20</f>
        <v>26901</v>
      </c>
      <c r="E103" s="3142" t="s">
        <v>2295</v>
      </c>
      <c r="F103" s="3143"/>
      <c r="G103" s="2522" t="s">
        <v>2296</v>
      </c>
      <c r="H103" s="1046">
        <f>IF(D36="正常操作",H104+H105+H106,H105+H106)</f>
        <v>0</v>
      </c>
      <c r="I103" s="138"/>
    </row>
    <row r="104" spans="1:35" ht="18.75" customHeight="1">
      <c r="A104" s="3178" t="s">
        <v>2297</v>
      </c>
      <c r="B104" s="2523" t="s">
        <v>2292</v>
      </c>
      <c r="C104" s="738">
        <f ca="1">H118</f>
        <v>6716</v>
      </c>
      <c r="D104" s="739"/>
      <c r="E104" s="2267" t="s">
        <v>2298</v>
      </c>
      <c r="F104" s="2258"/>
      <c r="G104" s="2522" t="s">
        <v>2296</v>
      </c>
      <c r="H104" s="1047">
        <f>IF(D36="同一抵押权人同一抵押物续贷",C36&amp;"（未扣减，详见特别提示）",C36)</f>
        <v>0</v>
      </c>
      <c r="I104" s="138"/>
    </row>
    <row r="105" spans="1:35" ht="18.75" customHeight="1" thickBot="1">
      <c r="A105" s="3190"/>
      <c r="B105" s="2524" t="s">
        <v>2294</v>
      </c>
      <c r="C105" s="740">
        <f ca="1">I118</f>
        <v>26901</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79" t="str">
        <f>IF(项目基本情况!E8="已注销","——","3.房地产抵押价值")</f>
        <v>3.房地产抵押价值</v>
      </c>
      <c r="F107" s="3149"/>
      <c r="G107" s="2521" t="s">
        <v>2292</v>
      </c>
      <c r="H107" s="1046">
        <f ca="1">IF(E107="——","——",H101-H103)</f>
        <v>6716</v>
      </c>
      <c r="I107" s="138"/>
    </row>
    <row r="108" spans="1:35" ht="18.75" customHeight="1">
      <c r="A108" s="138"/>
      <c r="B108" s="138"/>
      <c r="C108" s="138"/>
      <c r="D108" s="138"/>
      <c r="E108" s="3179"/>
      <c r="F108" s="3149"/>
      <c r="G108" s="2521" t="s">
        <v>2294</v>
      </c>
      <c r="H108" s="371">
        <f ca="1">ROUND(H107*10000/'数据-汇总表'!E3,0)</f>
        <v>26901</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9"/>
      <c r="G109" s="2521" t="s">
        <v>2292</v>
      </c>
      <c r="H109" s="348" t="str">
        <f>IF(E109="——","——",H101-H105-H106)</f>
        <v>——</v>
      </c>
      <c r="I109" s="138"/>
    </row>
    <row r="110" spans="1:35" ht="18.75" customHeight="1">
      <c r="A110" s="138"/>
      <c r="B110" s="138"/>
      <c r="C110" s="138"/>
      <c r="D110" s="138"/>
      <c r="E110" s="3179"/>
      <c r="F110" s="3149"/>
      <c r="G110" s="2521" t="s">
        <v>2294</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2292</v>
      </c>
      <c r="H111" s="1046" t="str">
        <f>IF(E111="——","——",N59)</f>
        <v>——</v>
      </c>
      <c r="I111" s="138"/>
    </row>
    <row r="112" spans="1:35" ht="18.75" customHeight="1" thickBot="1">
      <c r="A112" s="138"/>
      <c r="B112" s="138"/>
      <c r="C112" s="138"/>
      <c r="D112" s="138"/>
      <c r="E112" s="3182"/>
      <c r="F112" s="3183"/>
      <c r="G112" s="2526" t="s">
        <v>2294</v>
      </c>
      <c r="H112" s="788" t="str">
        <f>IF(E111="——","——",N61)</f>
        <v>——</v>
      </c>
      <c r="I112" s="138"/>
    </row>
    <row r="113" spans="1:11" ht="18.75" customHeight="1">
      <c r="A113" s="138"/>
      <c r="B113" s="138"/>
      <c r="C113" s="138"/>
      <c r="D113" s="138"/>
      <c r="E113" s="3191" t="s">
        <v>2300</v>
      </c>
      <c r="F113" s="3191"/>
      <c r="G113" s="3191"/>
      <c r="H113" s="3191"/>
      <c r="I113" s="138"/>
    </row>
    <row r="114" spans="1:11" ht="3.75" customHeight="1">
      <c r="A114" s="2419"/>
      <c r="B114" s="2419"/>
      <c r="C114" s="2419"/>
      <c r="D114" s="2419"/>
      <c r="E114" s="2497"/>
      <c r="F114" s="2497"/>
      <c r="G114" s="2497"/>
      <c r="H114" s="2497"/>
      <c r="I114" s="2419"/>
    </row>
    <row r="115" spans="1:11" ht="18.75" customHeight="1">
      <c r="A115" s="3204" t="s">
        <v>2302</v>
      </c>
      <c r="B115" s="3205"/>
      <c r="C115" s="3205"/>
      <c r="D115" s="3205"/>
      <c r="E115" s="3205"/>
      <c r="F115" s="3205"/>
      <c r="G115" s="3205"/>
      <c r="H115" s="3205"/>
      <c r="I115" s="3206"/>
    </row>
    <row r="116" spans="1:11" ht="27" customHeight="1">
      <c r="A116" s="3115" t="s">
        <v>2303</v>
      </c>
      <c r="B116" s="3158" t="s">
        <v>2304</v>
      </c>
      <c r="C116" s="3158" t="s">
        <v>2305</v>
      </c>
      <c r="D116" s="3164" t="s">
        <v>2306</v>
      </c>
      <c r="E116" s="3165"/>
      <c r="F116" s="3200" t="s">
        <v>2307</v>
      </c>
      <c r="G116" s="3200"/>
      <c r="H116" s="3115" t="s">
        <v>2308</v>
      </c>
      <c r="I116" s="3115"/>
    </row>
    <row r="117" spans="1:11" ht="18.75" customHeight="1">
      <c r="A117" s="3115"/>
      <c r="B117" s="3159"/>
      <c r="C117" s="3159"/>
      <c r="D117" s="3032" t="s">
        <v>2309</v>
      </c>
      <c r="E117" s="3032" t="s">
        <v>2310</v>
      </c>
      <c r="F117" s="3032" t="s">
        <v>2309</v>
      </c>
      <c r="G117" s="3032" t="s">
        <v>2311</v>
      </c>
      <c r="H117" s="3032" t="s">
        <v>2309</v>
      </c>
      <c r="I117" s="3032" t="s">
        <v>2311</v>
      </c>
    </row>
    <row r="118" spans="1:11" ht="24.75" customHeight="1">
      <c r="A118" s="2527" t="str">
        <f>项目基本情况!S2</f>
        <v>北京市朝阳区东三环南路76号房地产</v>
      </c>
      <c r="B118" s="3032">
        <f>M18</f>
        <v>2496.59</v>
      </c>
      <c r="C118" s="3032">
        <f>M19</f>
        <v>1121.78</v>
      </c>
      <c r="D118" s="3032">
        <f ca="1">ROUND(IF(D32="总价",C34,E118*B118/10000),0)</f>
        <v>4836</v>
      </c>
      <c r="E118" s="3032">
        <f ca="1">ROUND(IF(C33="自定义",IF(D32="楼面单价",C34,D118*10000/B118),I118-G118),0)</f>
        <v>19371</v>
      </c>
      <c r="F118" s="3032">
        <f ca="1">ROUND(IF(D32="总价",C35,G118*B118/10000),0)</f>
        <v>1880</v>
      </c>
      <c r="G118" s="3032">
        <f ca="1">ROUND(IF(D32="楼面单价",C35,F118*10000/B118),0)</f>
        <v>7530</v>
      </c>
      <c r="H118" s="3032">
        <f ca="1">ROUND(IF(D32="总价",C32,I118*B118/10000),0)</f>
        <v>6716</v>
      </c>
      <c r="I118" s="3032">
        <f ca="1">ROUND(IF(D32="楼面单价",C32,H118*10000/B118),0)</f>
        <v>26901</v>
      </c>
    </row>
    <row r="119" spans="1:11" ht="18.75" customHeight="1">
      <c r="A119" s="3115" t="s">
        <v>2312</v>
      </c>
      <c r="B119" s="3115"/>
      <c r="C119" s="3115"/>
      <c r="D119" s="3160" t="str">
        <f ca="1">NUMBERSTRING(INT(D118*10000),2)&amp;"元整"</f>
        <v>肆仟捌佰叁拾陆万元整</v>
      </c>
      <c r="E119" s="3161"/>
      <c r="F119" s="3160" t="str">
        <f ca="1">NUMBERSTRING(INT(F118*10000),2)&amp;"元整"</f>
        <v>壹仟捌佰捌拾万元整</v>
      </c>
      <c r="G119" s="3161"/>
      <c r="H119" s="3160" t="str">
        <f ca="1">NUMBERSTRING(INT(H118*10000),2)&amp;"元整"</f>
        <v>陆仟柒佰壹拾陆万元整</v>
      </c>
      <c r="I119" s="3161"/>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4" t="str">
        <f>IF(D120=0,"故，本次评估不存在"&amp;A120,"故，本次评估"&amp;A120&amp;"为人民币"&amp;D120&amp;"万元整。")</f>
        <v>故，本次评估不存在估价师知悉的法定优先受偿款</v>
      </c>
    </row>
    <row r="121" spans="1:11" ht="18.75" customHeight="1">
      <c r="A121" s="3201" t="s">
        <v>2312</v>
      </c>
      <c r="B121" s="3202"/>
      <c r="C121" s="3203"/>
      <c r="D121" s="3160" t="str">
        <f>IF(D120=0,"零元整",NUMBERSTRING(INT(D120*10000),2)&amp;"元整")</f>
        <v>零元整</v>
      </c>
      <c r="E121" s="3162"/>
      <c r="F121" s="3162"/>
      <c r="G121" s="3162"/>
      <c r="H121" s="3162"/>
      <c r="I121" s="3161"/>
    </row>
    <row r="122" spans="1:11" ht="18.75" customHeight="1">
      <c r="A122" s="3166" t="str">
        <f>IF(项目基本情况!B9="房地产市场价值","",MID(E107,3,LEN(E107)-2))</f>
        <v>房地产抵押价值</v>
      </c>
      <c r="B122" s="3166"/>
      <c r="C122" s="3166"/>
      <c r="D122" s="3155">
        <f ca="1">H107</f>
        <v>6716</v>
      </c>
      <c r="E122" s="3156"/>
      <c r="F122" s="3156"/>
      <c r="G122" s="3156"/>
      <c r="H122" s="3156"/>
      <c r="I122" s="3157"/>
    </row>
    <row r="123" spans="1:11" ht="18.75" customHeight="1">
      <c r="A123" s="3115" t="s">
        <v>2312</v>
      </c>
      <c r="B123" s="3115"/>
      <c r="C123" s="3115"/>
      <c r="D123" s="3160" t="str">
        <f ca="1">NUMBERSTRING(INT(D122*10000),2)&amp;"元整"</f>
        <v>陆仟柒佰壹拾陆万元整</v>
      </c>
      <c r="E123" s="3162"/>
      <c r="F123" s="3162"/>
      <c r="G123" s="3162"/>
      <c r="H123" s="3162"/>
      <c r="I123" s="3161"/>
    </row>
    <row r="124" spans="1:11" ht="18.75" customHeight="1">
      <c r="A124" s="3166" t="str">
        <f>IF(项目基本情况!B9="房地产市场价值","",MID(E109,3,LEN(E109)-2))</f>
        <v/>
      </c>
      <c r="B124" s="3166"/>
      <c r="C124" s="3166"/>
      <c r="D124" s="3155" t="str">
        <f>H109</f>
        <v>——</v>
      </c>
      <c r="E124" s="3156"/>
      <c r="F124" s="3156"/>
      <c r="G124" s="3156"/>
      <c r="H124" s="3156"/>
      <c r="I124" s="3157"/>
    </row>
    <row r="125" spans="1:11" ht="18.75" customHeight="1">
      <c r="A125" s="3115" t="s">
        <v>2312</v>
      </c>
      <c r="B125" s="3115"/>
      <c r="C125" s="3115"/>
      <c r="D125" s="3160" t="e">
        <f>NUMBERSTRING(INT(D124*10000),2)&amp;"元整"</f>
        <v>#VALUE!</v>
      </c>
      <c r="E125" s="3162"/>
      <c r="F125" s="3162"/>
      <c r="G125" s="3162"/>
      <c r="H125" s="3162"/>
      <c r="I125" s="3161"/>
    </row>
    <row r="126" spans="1:11" ht="18.75" customHeight="1">
      <c r="A126" s="3166" t="str">
        <f>IF(项目基本情况!B9="房地产市场价值","",MID(E111,3,LEN(E111)-2))</f>
        <v/>
      </c>
      <c r="B126" s="3166"/>
      <c r="C126" s="3166"/>
      <c r="D126" s="3155" t="str">
        <f>H111</f>
        <v>——</v>
      </c>
      <c r="E126" s="3156"/>
      <c r="F126" s="3156"/>
      <c r="G126" s="3156"/>
      <c r="H126" s="3156"/>
      <c r="I126" s="3157"/>
    </row>
    <row r="127" spans="1:11" ht="18.75" customHeight="1">
      <c r="A127" s="3115" t="s">
        <v>2312</v>
      </c>
      <c r="B127" s="3115"/>
      <c r="C127" s="3115"/>
      <c r="D127" s="3160" t="e">
        <f>NUMBERSTRING(INT(D126*10000),2)&amp;"元整"</f>
        <v>#VALUE!</v>
      </c>
      <c r="E127" s="3162"/>
      <c r="F127" s="3162"/>
      <c r="G127" s="3162"/>
      <c r="H127" s="3162"/>
      <c r="I127" s="3161"/>
    </row>
    <row r="128" spans="1:11" ht="21.75" customHeight="1">
      <c r="A128" s="3163" t="s">
        <v>2313</v>
      </c>
      <c r="B128" s="3163"/>
      <c r="C128" s="3163"/>
      <c r="D128" s="3163"/>
      <c r="E128" s="3163"/>
      <c r="F128" s="3163"/>
      <c r="G128" s="3163"/>
      <c r="H128" s="3163"/>
      <c r="I128" s="3163"/>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13" sqref="H13"/>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3157</v>
      </c>
      <c r="B1" s="2981">
        <f>项目基本情况!B3</f>
        <v>43251</v>
      </c>
    </row>
    <row r="2" spans="1:6" ht="33" customHeight="1">
      <c r="A2" s="2983" t="s">
        <v>3158</v>
      </c>
      <c r="B2" s="2984" t="s">
        <v>3159</v>
      </c>
      <c r="C2" s="2985" t="s">
        <v>3160</v>
      </c>
      <c r="D2" s="2984" t="s">
        <v>3161</v>
      </c>
      <c r="E2" s="2986" t="s">
        <v>3162</v>
      </c>
    </row>
    <row r="3" spans="1:6" ht="20.25" customHeight="1">
      <c r="A3" s="2987">
        <v>40</v>
      </c>
      <c r="B3" s="2988">
        <v>43465</v>
      </c>
      <c r="C3" s="2989">
        <f>ROUNDDOWN(MIN((B3-$B$1)/365,A3),2)</f>
        <v>0.57999999999999996</v>
      </c>
      <c r="D3" s="2990">
        <f>IF(ISERROR(ROUND(POWER(1+E3,A3-C3)*(POWER(1+E3,C3)-1)/(POWER(1+E3,A3)-1),3)),0,ROUND(POWER(1+E3,A3-C3)*(POWER(1+E3,C3)-1)/(POWER(1+E3,A3)-1),3))</f>
        <v>3.3000000000000002E-2</v>
      </c>
      <c r="E3" s="2991">
        <f>'数据-取费表'!H6</f>
        <v>0.05</v>
      </c>
    </row>
    <row r="4" spans="1:6" ht="20.25" customHeight="1">
      <c r="A4" s="2987">
        <v>50</v>
      </c>
      <c r="B4" s="2988">
        <v>50028</v>
      </c>
      <c r="C4" s="2989">
        <f>ROUNDDOWN(MIN((B4-$B$1)/365,A4),2)</f>
        <v>18.559999999999999</v>
      </c>
      <c r="D4" s="2990">
        <f>IF(ISERROR(ROUND(POWER(1+E4,A4-C4)*(POWER(1+E4,C4)-1)/(POWER(1+E4,A4)-1),3)),0,ROUND(POWER(1+E4,A4-C4)*(POWER(1+E4,C4)-1)/(POWER(1+E4,A4)-1),3))</f>
        <v>0.60199999999999998</v>
      </c>
      <c r="E4" s="2991">
        <v>0.04</v>
      </c>
    </row>
    <row r="5" spans="1:6" ht="20.25" customHeight="1" thickBot="1">
      <c r="A5" s="2992">
        <v>70</v>
      </c>
      <c r="B5" s="2993">
        <v>57333</v>
      </c>
      <c r="C5" s="2994">
        <f>ROUNDDOWN(MIN((B5-$B$1)/365,A5),2)</f>
        <v>38.58</v>
      </c>
      <c r="D5" s="2995">
        <f>IF(ISERROR(ROUND(POWER(1+E5,A5-C5)*(POWER(1+E5,C5)-1)/(POWER(1+E5,A5)-1),3)),0,ROUND(POWER(1+E5,A5-C5)*(POWER(1+E5,C5)-1)/(POWER(1+E5,A5)-1),3))</f>
        <v>0.83299999999999996</v>
      </c>
      <c r="E5" s="2996">
        <v>0.04</v>
      </c>
    </row>
    <row r="6" spans="1:6" ht="20.25" customHeight="1" thickBot="1"/>
    <row r="7" spans="1:6" s="2999" customFormat="1" ht="20.25" customHeight="1" thickBot="1">
      <c r="A7" s="2997" t="s">
        <v>3163</v>
      </c>
      <c r="B7" s="2998"/>
    </row>
    <row r="8" spans="1:6" ht="20.25" customHeight="1" thickBot="1">
      <c r="A8" s="3382" t="s">
        <v>3164</v>
      </c>
      <c r="B8" s="3383"/>
      <c r="C8" s="3000"/>
      <c r="D8" s="3001" t="s">
        <v>3162</v>
      </c>
      <c r="E8" s="3000"/>
      <c r="F8" s="3002" t="s">
        <v>3161</v>
      </c>
    </row>
    <row r="9" spans="1:6" ht="20.25" customHeight="1">
      <c r="A9" s="3003" t="s">
        <v>3165</v>
      </c>
      <c r="B9" s="3004">
        <v>70</v>
      </c>
      <c r="C9" s="3005" t="s">
        <v>3166</v>
      </c>
      <c r="D9" s="3006">
        <v>4.4999999999999998E-2</v>
      </c>
      <c r="E9" s="3005" t="s">
        <v>3167</v>
      </c>
      <c r="F9" s="3007">
        <f>1-(1/(POWER(1+D9,B9)))</f>
        <v>0.95409503414356267</v>
      </c>
    </row>
    <row r="10" spans="1:6" ht="20.25" customHeight="1" thickBot="1">
      <c r="A10" s="3008" t="s">
        <v>3168</v>
      </c>
      <c r="B10" s="3009">
        <v>40</v>
      </c>
      <c r="C10" s="3010" t="s">
        <v>3169</v>
      </c>
      <c r="D10" s="3011">
        <v>4.4999999999999998E-2</v>
      </c>
      <c r="E10" s="3010" t="s">
        <v>3170</v>
      </c>
      <c r="F10" s="3012">
        <f>1-(1/(POWER(1+D10,B10)))</f>
        <v>0.8280712989125899</v>
      </c>
    </row>
    <row r="11" spans="1:6" ht="20.25" customHeight="1" thickBot="1">
      <c r="A11" s="3013" t="s">
        <v>3171</v>
      </c>
      <c r="B11" s="3014"/>
      <c r="C11" s="3014"/>
      <c r="D11" s="3014"/>
      <c r="E11" s="3014"/>
      <c r="F11" s="3014"/>
    </row>
    <row r="12" spans="1:6" ht="20.25" customHeight="1">
      <c r="A12" s="3003" t="s">
        <v>3172</v>
      </c>
      <c r="B12" s="3015">
        <v>5000</v>
      </c>
      <c r="E12" s="3016"/>
      <c r="F12" s="3016"/>
    </row>
    <row r="13" spans="1:6" ht="20.25" customHeight="1" thickBot="1">
      <c r="A13" s="3008" t="s">
        <v>3173</v>
      </c>
      <c r="B13" s="3017">
        <f>ROUND(B12*F10/F9,2)</f>
        <v>4339.5600000000004</v>
      </c>
      <c r="C13" s="3018">
        <f>ROUND(F10/F9,4)</f>
        <v>0.8679</v>
      </c>
      <c r="E13" s="3016"/>
      <c r="F13" s="3016"/>
    </row>
    <row r="14" spans="1:6" ht="20.25" customHeight="1" thickBot="1">
      <c r="A14" s="3013" t="s">
        <v>3174</v>
      </c>
      <c r="B14" s="3019"/>
      <c r="C14" s="3016"/>
    </row>
    <row r="15" spans="1:6" ht="20.25" customHeight="1">
      <c r="A15" s="3005" t="s">
        <v>3175</v>
      </c>
      <c r="B15" s="3020">
        <v>4810</v>
      </c>
      <c r="C15" s="3016"/>
    </row>
    <row r="16" spans="1:6" ht="20.25" customHeight="1" thickBot="1">
      <c r="A16" s="3010" t="s">
        <v>3176</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1640</v>
      </c>
      <c r="B2" s="3061" t="s">
        <v>1641</v>
      </c>
      <c r="C2" s="3061" t="s">
        <v>1642</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62"/>
      <c r="B3" s="3062"/>
      <c r="C3" s="3062"/>
      <c r="D3" s="1045" t="s">
        <v>1637</v>
      </c>
      <c r="E3" s="1045" t="s">
        <v>1643</v>
      </c>
      <c r="F3" s="1045" t="s">
        <v>1637</v>
      </c>
      <c r="G3" s="1045" t="s">
        <v>1638</v>
      </c>
      <c r="H3" s="1045" t="s">
        <v>1637</v>
      </c>
      <c r="I3" s="1045" t="s">
        <v>1638</v>
      </c>
    </row>
    <row r="4" spans="1:9" ht="30">
      <c r="A4" s="1974" t="str">
        <f>项目基本情况!S2</f>
        <v>北京市朝阳区东三环南路76号房地产</v>
      </c>
      <c r="B4" s="1045">
        <f>项目基本情况!C17</f>
        <v>2496.59</v>
      </c>
      <c r="C4" s="1045">
        <f>项目基本情况!C18</f>
        <v>1121.78</v>
      </c>
      <c r="D4" s="1045">
        <f ca="1">结果表!D118</f>
        <v>4612</v>
      </c>
      <c r="E4" s="1045">
        <f ca="1">结果表!E118</f>
        <v>18473</v>
      </c>
      <c r="F4" s="1045">
        <f ca="1">结果表!F118</f>
        <v>1794</v>
      </c>
      <c r="G4" s="1045">
        <f ca="1">结果表!G118</f>
        <v>7186</v>
      </c>
      <c r="H4" s="1045">
        <f ca="1">结果表!H118</f>
        <v>6406</v>
      </c>
      <c r="I4" s="1045">
        <f ca="1">结果表!I118</f>
        <v>25659</v>
      </c>
    </row>
    <row r="5" spans="1:9" ht="30" customHeight="1">
      <c r="A5" s="3062" t="s">
        <v>1639</v>
      </c>
      <c r="B5" s="3062"/>
      <c r="C5" s="3062"/>
      <c r="D5" s="3063" t="str">
        <f ca="1">结果表!D119</f>
        <v>肆仟陆佰壹拾贰万元整</v>
      </c>
      <c r="E5" s="3063"/>
      <c r="F5" s="3063" t="str">
        <f ca="1">结果表!F119</f>
        <v>壹仟柒佰玖拾肆万元整</v>
      </c>
      <c r="G5" s="3063"/>
      <c r="H5" s="3063" t="str">
        <f ca="1">结果表!H119</f>
        <v>陆仟肆佰零陆万元整</v>
      </c>
      <c r="I5" s="3063"/>
    </row>
    <row r="6" spans="1:9" ht="15.75">
      <c r="A6" s="3064" t="str">
        <f>结果表!A120</f>
        <v>估价师知悉的法定优先受偿款</v>
      </c>
      <c r="B6" s="3064"/>
      <c r="C6" s="3064"/>
      <c r="D6" s="3064">
        <f>结果表!D120</f>
        <v>0</v>
      </c>
      <c r="E6" s="3064"/>
      <c r="F6" s="3064"/>
      <c r="G6" s="3064"/>
      <c r="H6" s="3064"/>
      <c r="I6" s="3064"/>
    </row>
    <row r="7" spans="1:9" ht="15">
      <c r="A7" s="3062" t="s">
        <v>1639</v>
      </c>
      <c r="B7" s="3062"/>
      <c r="C7" s="3062"/>
      <c r="D7" s="3065" t="str">
        <f>结果表!D121</f>
        <v>零元整</v>
      </c>
      <c r="E7" s="3066"/>
      <c r="F7" s="3066"/>
      <c r="G7" s="3066"/>
      <c r="H7" s="3066"/>
      <c r="I7" s="3067"/>
    </row>
    <row r="8" spans="1:9" ht="15.75">
      <c r="A8" s="3064" t="str">
        <f>结果表!A122</f>
        <v>房地产抵押价值</v>
      </c>
      <c r="B8" s="3064"/>
      <c r="C8" s="3064"/>
      <c r="D8" s="3064">
        <f ca="1">结果表!D122</f>
        <v>6406</v>
      </c>
      <c r="E8" s="3064"/>
      <c r="F8" s="3064"/>
      <c r="G8" s="3064"/>
      <c r="H8" s="3064"/>
      <c r="I8" s="3064"/>
    </row>
    <row r="9" spans="1:9" ht="15">
      <c r="A9" s="3062" t="s">
        <v>1639</v>
      </c>
      <c r="B9" s="3062"/>
      <c r="C9" s="3062"/>
      <c r="D9" s="3063" t="str">
        <f ca="1">结果表!D123</f>
        <v>陆仟肆佰零陆万元整</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1639</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75" thickBot="1">
      <c r="A13" s="3068" t="s">
        <v>1639</v>
      </c>
      <c r="B13" s="3068"/>
      <c r="C13" s="3068"/>
      <c r="D13" s="3069" t="e">
        <f>结果表!D127</f>
        <v>#VALUE!</v>
      </c>
      <c r="E13" s="3069"/>
      <c r="F13" s="3069"/>
      <c r="G13" s="3069"/>
      <c r="H13" s="3069"/>
      <c r="I13" s="3069"/>
    </row>
    <row r="14" spans="1:9" ht="15" thickTop="1">
      <c r="A14" s="3070" t="s">
        <v>1644</v>
      </c>
      <c r="B14" s="3070"/>
      <c r="C14" s="3070"/>
      <c r="D14" s="3070"/>
      <c r="E14" s="3070"/>
      <c r="F14" s="3070"/>
      <c r="G14" s="3070"/>
      <c r="H14" s="3070"/>
      <c r="I14" s="3070"/>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71" t="s">
        <v>1661</v>
      </c>
      <c r="B1" s="3071"/>
      <c r="C1" s="3071"/>
      <c r="D1" s="3071"/>
    </row>
    <row r="2" spans="1:4" ht="18">
      <c r="A2" s="3072" t="s">
        <v>1645</v>
      </c>
      <c r="B2" s="3072"/>
      <c r="C2" s="3072"/>
      <c r="D2" s="3072"/>
    </row>
    <row r="3" spans="1:4" ht="18.75">
      <c r="A3" s="1978" t="s">
        <v>1646</v>
      </c>
      <c r="B3" s="1978" t="s">
        <v>1647</v>
      </c>
      <c r="C3" s="1978" t="s">
        <v>1648</v>
      </c>
      <c r="D3" s="1978" t="s">
        <v>1649</v>
      </c>
    </row>
    <row r="4" spans="1:4" ht="56.25" customHeight="1">
      <c r="A4" s="1979" t="str">
        <f>项目基本情况!B4</f>
        <v>刘梅</v>
      </c>
      <c r="B4" s="1980">
        <f ca="1">项目基本情况!C4</f>
        <v>1120140022</v>
      </c>
      <c r="C4" s="1981"/>
      <c r="D4" s="1982" t="s">
        <v>1650</v>
      </c>
    </row>
    <row r="5" spans="1:4" ht="56.25" customHeight="1">
      <c r="A5" s="1979" t="str">
        <f>项目基本情况!D4</f>
        <v>吴薇</v>
      </c>
      <c r="B5" s="1980">
        <f ca="1">项目基本情况!E4</f>
        <v>1419970001</v>
      </c>
      <c r="C5" s="1983"/>
      <c r="D5" s="1982" t="s">
        <v>1650</v>
      </c>
    </row>
    <row r="6" spans="1:4" ht="18">
      <c r="A6" s="3072" t="s">
        <v>1651</v>
      </c>
      <c r="B6" s="3072"/>
      <c r="C6" s="3072"/>
      <c r="D6" s="3072"/>
    </row>
    <row r="7" spans="1:4" ht="18.75">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8.75">
      <c r="A10" s="1985" t="s">
        <v>1653</v>
      </c>
      <c r="B10" s="726"/>
      <c r="C10" s="726"/>
      <c r="D10" s="726"/>
    </row>
    <row r="11" spans="1:4" ht="30" customHeight="1">
      <c r="A11" s="3073" t="s">
        <v>1654</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7" t="s">
        <v>1655</v>
      </c>
      <c r="B16" s="3077"/>
      <c r="C16" s="3077"/>
      <c r="D16" s="3077"/>
    </row>
    <row r="17" spans="1:4" ht="144" customHeight="1">
      <c r="A17" s="3077" t="s">
        <v>1656</v>
      </c>
      <c r="B17" s="3077"/>
      <c r="C17" s="3077"/>
      <c r="D17" s="3077"/>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1657</v>
      </c>
      <c r="B22" s="3079"/>
      <c r="C22" s="3079"/>
      <c r="D22" s="3079"/>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85" t="s">
        <v>1668</v>
      </c>
      <c r="B15" s="3080" t="s">
        <v>136</v>
      </c>
      <c r="C15" s="3081"/>
    </row>
    <row r="16" spans="1:7" ht="13.5">
      <c r="A16" s="3086"/>
      <c r="B16" s="3080" t="s">
        <v>69</v>
      </c>
      <c r="C16" s="3081"/>
    </row>
    <row r="17" spans="1:3" ht="13.5">
      <c r="A17" s="3086"/>
      <c r="B17" s="3083" t="s">
        <v>1669</v>
      </c>
      <c r="C17" s="2001" t="s">
        <v>1668</v>
      </c>
    </row>
    <row r="18" spans="1:3" ht="13.5">
      <c r="A18" s="3086"/>
      <c r="B18" s="3083"/>
      <c r="C18" s="2001" t="s">
        <v>1670</v>
      </c>
    </row>
    <row r="19" spans="1:3" ht="13.5">
      <c r="A19" s="3086"/>
      <c r="B19" s="3083"/>
      <c r="C19" s="2001" t="s">
        <v>1671</v>
      </c>
    </row>
    <row r="20" spans="1:3" ht="13.5">
      <c r="A20" s="3087"/>
      <c r="B20" s="3082" t="s">
        <v>1672</v>
      </c>
      <c r="C20" s="3081"/>
    </row>
    <row r="21" spans="1:3" ht="13.5">
      <c r="A21" s="2002" t="s">
        <v>1673</v>
      </c>
      <c r="B21" s="2003"/>
      <c r="C21" s="2004"/>
    </row>
    <row r="22" spans="1:3" ht="13.5">
      <c r="A22" s="3084" t="s">
        <v>1674</v>
      </c>
      <c r="B22" s="3082" t="s">
        <v>1675</v>
      </c>
      <c r="C22" s="3081"/>
    </row>
    <row r="23" spans="1:3" ht="13.5">
      <c r="A23" s="3084"/>
      <c r="B23" s="3082" t="s">
        <v>1676</v>
      </c>
      <c r="C23" s="3081"/>
    </row>
    <row r="24" spans="1:3" ht="13.5">
      <c r="A24" s="3084"/>
      <c r="B24" s="3082" t="s">
        <v>1677</v>
      </c>
      <c r="C24" s="3081"/>
    </row>
    <row r="25" spans="1:3" ht="13.5">
      <c r="A25" s="3084"/>
      <c r="B25" s="3083" t="s">
        <v>1678</v>
      </c>
      <c r="C25" s="2001" t="s">
        <v>1679</v>
      </c>
    </row>
    <row r="26" spans="1:3" ht="13.5">
      <c r="A26" s="3084"/>
      <c r="B26" s="3083"/>
      <c r="C26" s="2001" t="s">
        <v>1680</v>
      </c>
    </row>
    <row r="27" spans="1:3" ht="13.5">
      <c r="A27" s="3084"/>
      <c r="B27" s="3083"/>
      <c r="C27" s="2001" t="s">
        <v>1681</v>
      </c>
    </row>
    <row r="28" spans="1:3" ht="13.5">
      <c r="A28" s="3084"/>
      <c r="B28" s="3083"/>
      <c r="C28" s="2001" t="s">
        <v>1682</v>
      </c>
    </row>
    <row r="29" spans="1:3" ht="13.5">
      <c r="A29" s="3084"/>
      <c r="B29" s="3083"/>
      <c r="C29" s="2001" t="s">
        <v>1683</v>
      </c>
    </row>
    <row r="30" spans="1:3" ht="13.5">
      <c r="A30" s="3084"/>
      <c r="B30" s="3083"/>
      <c r="C30" s="2001" t="s">
        <v>1684</v>
      </c>
    </row>
    <row r="31" spans="1:3" ht="13.5">
      <c r="A31" s="3084"/>
      <c r="B31" s="3083"/>
      <c r="C31" s="2001" t="s">
        <v>1685</v>
      </c>
    </row>
    <row r="32" spans="1:3" ht="13.5">
      <c r="A32" s="3084"/>
      <c r="B32" s="3083"/>
      <c r="C32" s="2001" t="s">
        <v>1686</v>
      </c>
    </row>
    <row r="33" spans="1:3" ht="13.5">
      <c r="A33" s="3084"/>
      <c r="B33" s="3083"/>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43348</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3040</v>
      </c>
      <c r="B12" s="1023">
        <v>1120110054</v>
      </c>
      <c r="C12" s="2944">
        <v>43937</v>
      </c>
      <c r="D12" s="1703" t="s">
        <v>3040</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t="str">
        <f ca="1">IF(C22&lt;B2,"已过期",1120020033)</f>
        <v>已过期</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88" t="s">
        <v>846</v>
      </c>
      <c r="B25" s="3088"/>
      <c r="C25" s="3088"/>
      <c r="D25" s="3088"/>
      <c r="E25" s="3088"/>
      <c r="F25" s="3088"/>
      <c r="G25" s="3088"/>
    </row>
    <row r="26" spans="1:7" s="1026" customFormat="1" ht="24" customHeight="1">
      <c r="A26" s="3089" t="s">
        <v>847</v>
      </c>
      <c r="B26" s="3089"/>
      <c r="C26" s="3090"/>
      <c r="D26" s="3091" t="s">
        <v>848</v>
      </c>
      <c r="E26" s="3089"/>
      <c r="F26" s="3089"/>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7" priority="62">
      <formula>AND($C28-TODAY()&lt;30,TODAY()&lt;$C28)</formula>
    </cfRule>
  </conditionalFormatting>
  <conditionalFormatting sqref="C28 F4">
    <cfRule type="cellIs" dxfId="226" priority="64" stopIfTrue="1" operator="lessThan">
      <formula>$B$2</formula>
    </cfRule>
  </conditionalFormatting>
  <conditionalFormatting sqref="C5">
    <cfRule type="expression" dxfId="225" priority="59">
      <formula>AND($C5-TODAY()&lt;30,TODAY()&lt;$C5)</formula>
    </cfRule>
  </conditionalFormatting>
  <conditionalFormatting sqref="C5 F5">
    <cfRule type="cellIs" dxfId="224" priority="60" stopIfTrue="1" operator="lessThan">
      <formula>$B$2</formula>
    </cfRule>
  </conditionalFormatting>
  <conditionalFormatting sqref="F6 F8 F10">
    <cfRule type="cellIs" dxfId="223" priority="58" stopIfTrue="1" operator="lessThan">
      <formula>$B$2</formula>
    </cfRule>
  </conditionalFormatting>
  <conditionalFormatting sqref="C4:C11 C13:C23">
    <cfRule type="expression" dxfId="222" priority="56">
      <formula>AND($C4-TODAY()&lt;30,TODAY()&lt;$C4)</formula>
    </cfRule>
  </conditionalFormatting>
  <conditionalFormatting sqref="F7 F9 F11 C4:C11 C13:C23">
    <cfRule type="cellIs" dxfId="221" priority="57" stopIfTrue="1" operator="lessThan">
      <formula>$B$2</formula>
    </cfRule>
  </conditionalFormatting>
  <conditionalFormatting sqref="C14">
    <cfRule type="expression" dxfId="220" priority="50">
      <formula>AND($C14-TODAY()&lt;30,TODAY()&lt;$C14)</formula>
    </cfRule>
  </conditionalFormatting>
  <conditionalFormatting sqref="C14">
    <cfRule type="cellIs" dxfId="219" priority="51" stopIfTrue="1" operator="lessThan">
      <formula>$B$2</formula>
    </cfRule>
  </conditionalFormatting>
  <conditionalFormatting sqref="C16">
    <cfRule type="expression" dxfId="218" priority="48">
      <formula>AND($C16-TODAY()&lt;30,TODAY()&lt;$C16)</formula>
    </cfRule>
  </conditionalFormatting>
  <conditionalFormatting sqref="C16">
    <cfRule type="cellIs" dxfId="217" priority="49" stopIfTrue="1" operator="lessThan">
      <formula>$B$2</formula>
    </cfRule>
  </conditionalFormatting>
  <conditionalFormatting sqref="C18">
    <cfRule type="expression" dxfId="216" priority="46">
      <formula>AND($C18-TODAY()&lt;30,TODAY()&lt;$C18)</formula>
    </cfRule>
  </conditionalFormatting>
  <conditionalFormatting sqref="C18">
    <cfRule type="cellIs" dxfId="215" priority="47" stopIfTrue="1" operator="lessThan">
      <formula>$B$2</formula>
    </cfRule>
  </conditionalFormatting>
  <conditionalFormatting sqref="C20">
    <cfRule type="expression" dxfId="214" priority="44">
      <formula>AND($C20-TODAY()&lt;30,TODAY()&lt;$C20)</formula>
    </cfRule>
  </conditionalFormatting>
  <conditionalFormatting sqref="C20">
    <cfRule type="cellIs" dxfId="213" priority="45" stopIfTrue="1" operator="lessThan">
      <formula>$B$2</formula>
    </cfRule>
  </conditionalFormatting>
  <conditionalFormatting sqref="C22">
    <cfRule type="expression" dxfId="212" priority="42">
      <formula>AND($C22-TODAY()&lt;30,TODAY()&lt;$C22)</formula>
    </cfRule>
  </conditionalFormatting>
  <conditionalFormatting sqref="C22">
    <cfRule type="cellIs" dxfId="211" priority="43" stopIfTrue="1" operator="lessThan">
      <formula>$B$2</formula>
    </cfRule>
  </conditionalFormatting>
  <conditionalFormatting sqref="C15">
    <cfRule type="expression" dxfId="210" priority="40">
      <formula>AND($C15-TODAY()&lt;30,TODAY()&lt;$C15)</formula>
    </cfRule>
  </conditionalFormatting>
  <conditionalFormatting sqref="C15">
    <cfRule type="cellIs" dxfId="209" priority="41" stopIfTrue="1" operator="lessThan">
      <formula>$B$2</formula>
    </cfRule>
  </conditionalFormatting>
  <conditionalFormatting sqref="C17">
    <cfRule type="expression" dxfId="208" priority="38">
      <formula>AND($C17-TODAY()&lt;30,TODAY()&lt;$C17)</formula>
    </cfRule>
  </conditionalFormatting>
  <conditionalFormatting sqref="C17">
    <cfRule type="cellIs" dxfId="207" priority="39" stopIfTrue="1" operator="lessThan">
      <formula>$B$2</formula>
    </cfRule>
  </conditionalFormatting>
  <conditionalFormatting sqref="C19">
    <cfRule type="expression" dxfId="206" priority="36">
      <formula>AND($C19-TODAY()&lt;30,TODAY()&lt;$C19)</formula>
    </cfRule>
  </conditionalFormatting>
  <conditionalFormatting sqref="C19">
    <cfRule type="cellIs" dxfId="205" priority="37" stopIfTrue="1" operator="lessThan">
      <formula>$B$2</formula>
    </cfRule>
  </conditionalFormatting>
  <conditionalFormatting sqref="C21">
    <cfRule type="expression" dxfId="204" priority="34">
      <formula>AND($C21-TODAY()&lt;30,TODAY()&lt;$C21)</formula>
    </cfRule>
  </conditionalFormatting>
  <conditionalFormatting sqref="C21">
    <cfRule type="cellIs" dxfId="203" priority="35" stopIfTrue="1" operator="lessThan">
      <formula>$B$2</formula>
    </cfRule>
  </conditionalFormatting>
  <conditionalFormatting sqref="C23">
    <cfRule type="expression" dxfId="202" priority="32">
      <formula>AND($C23-TODAY()&lt;30,TODAY()&lt;$C23)</formula>
    </cfRule>
  </conditionalFormatting>
  <conditionalFormatting sqref="C23">
    <cfRule type="cellIs" dxfId="201" priority="33" stopIfTrue="1" operator="lessThan">
      <formula>$B$2</formula>
    </cfRule>
  </conditionalFormatting>
  <conditionalFormatting sqref="F16">
    <cfRule type="cellIs" dxfId="200" priority="30" stopIfTrue="1" operator="lessThan">
      <formula>$B$2</formula>
    </cfRule>
  </conditionalFormatting>
  <conditionalFormatting sqref="F18">
    <cfRule type="cellIs" dxfId="199" priority="29" stopIfTrue="1" operator="lessThan">
      <formula>$B$2</formula>
    </cfRule>
  </conditionalFormatting>
  <conditionalFormatting sqref="F22">
    <cfRule type="cellIs" dxfId="198" priority="28" stopIfTrue="1" operator="lessThan">
      <formula>$B$2</formula>
    </cfRule>
  </conditionalFormatting>
  <conditionalFormatting sqref="F21">
    <cfRule type="cellIs" dxfId="197" priority="27" stopIfTrue="1" operator="lessThan">
      <formula>$B$2</formula>
    </cfRule>
  </conditionalFormatting>
  <conditionalFormatting sqref="F17">
    <cfRule type="cellIs" dxfId="196" priority="26" stopIfTrue="1" operator="lessThan">
      <formula>$B$2</formula>
    </cfRule>
  </conditionalFormatting>
  <conditionalFormatting sqref="B4:B11 E4:E11 B16:B23 E16:E23 B13:B14 E13:E14">
    <cfRule type="cellIs" dxfId="195" priority="25" stopIfTrue="1" operator="equal">
      <formula>"已过期"</formula>
    </cfRule>
  </conditionalFormatting>
  <conditionalFormatting sqref="A24:F24">
    <cfRule type="cellIs" dxfId="194" priority="21" stopIfTrue="1" operator="equal">
      <formula>"已过期"</formula>
    </cfRule>
  </conditionalFormatting>
  <conditionalFormatting sqref="F28">
    <cfRule type="expression" dxfId="193" priority="19">
      <formula>AND($E28-TODAY()&lt;30,TODAY()&lt;$E28)</formula>
    </cfRule>
  </conditionalFormatting>
  <conditionalFormatting sqref="F28">
    <cfRule type="cellIs" dxfId="192" priority="20" stopIfTrue="1" operator="lessThan">
      <formula>$B$2</formula>
    </cfRule>
  </conditionalFormatting>
  <conditionalFormatting sqref="F29">
    <cfRule type="expression" dxfId="191" priority="15" stopIfTrue="1">
      <formula>AND($E29-TODAY()&lt;30,TODAY()&lt;$E29)</formula>
    </cfRule>
  </conditionalFormatting>
  <conditionalFormatting sqref="F29">
    <cfRule type="cellIs" dxfId="190" priority="16" stopIfTrue="1" operator="lessThan">
      <formula>$B$2</formula>
    </cfRule>
  </conditionalFormatting>
  <conditionalFormatting sqref="B15">
    <cfRule type="cellIs" dxfId="189" priority="13" stopIfTrue="1" operator="equal">
      <formula>"已过期"</formula>
    </cfRule>
  </conditionalFormatting>
  <conditionalFormatting sqref="A15">
    <cfRule type="cellIs" dxfId="188" priority="12" stopIfTrue="1" operator="equal">
      <formula>"已过期"</formula>
    </cfRule>
  </conditionalFormatting>
  <conditionalFormatting sqref="C15">
    <cfRule type="expression" dxfId="187" priority="11">
      <formula>AND($C15-TODAY()&lt;30,TODAY()&lt;$C15)</formula>
    </cfRule>
  </conditionalFormatting>
  <conditionalFormatting sqref="E15">
    <cfRule type="cellIs" dxfId="186" priority="10" stopIfTrue="1" operator="equal">
      <formula>"已过期"</formula>
    </cfRule>
  </conditionalFormatting>
  <conditionalFormatting sqref="D15">
    <cfRule type="cellIs" dxfId="185" priority="9" stopIfTrue="1" operator="equal">
      <formula>"已过期"</formula>
    </cfRule>
  </conditionalFormatting>
  <conditionalFormatting sqref="F13">
    <cfRule type="cellIs" dxfId="184" priority="8" stopIfTrue="1" operator="lessThan">
      <formula>$B$2</formula>
    </cfRule>
  </conditionalFormatting>
  <conditionalFormatting sqref="C12">
    <cfRule type="expression" dxfId="183" priority="6">
      <formula>AND($C12-TODAY()&lt;30,TODAY()&lt;$C12)</formula>
    </cfRule>
  </conditionalFormatting>
  <conditionalFormatting sqref="C12">
    <cfRule type="cellIs" dxfId="182" priority="7" stopIfTrue="1" operator="lessThan">
      <formula>$B$2</formula>
    </cfRule>
  </conditionalFormatting>
  <conditionalFormatting sqref="C12">
    <cfRule type="expression" dxfId="181" priority="4">
      <formula>AND($C12-TODAY()&lt;30,TODAY()&lt;$C12)</formula>
    </cfRule>
  </conditionalFormatting>
  <conditionalFormatting sqref="C12">
    <cfRule type="cellIs" dxfId="180" priority="5" stopIfTrue="1" operator="lessThan">
      <formula>$B$2</formula>
    </cfRule>
  </conditionalFormatting>
  <conditionalFormatting sqref="B12">
    <cfRule type="cellIs" dxfId="179" priority="3" stopIfTrue="1" operator="equal">
      <formula>"已过期"</formula>
    </cfRule>
  </conditionalFormatting>
  <conditionalFormatting sqref="E12">
    <cfRule type="cellIs" dxfId="178" priority="2" stopIfTrue="1" operator="equal">
      <formula>"已过期"</formula>
    </cfRule>
  </conditionalFormatting>
  <conditionalFormatting sqref="F12">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收益法已出租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收益法未出租</vt:lpstr>
      <vt:lpstr>收益法（汇总）</vt:lpstr>
      <vt:lpstr>比较法-商业 (租金)</vt:lpstr>
      <vt:lpstr>案例及商业租金楼层修正</vt:lpstr>
      <vt:lpstr>典型户型修正</vt:lpstr>
      <vt:lpstr>结果表 (计算净值)</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2018-09-05T03:05:04Z</dcterms:modified>
</cp:coreProperties>
</file>