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120" windowWidth="13905" windowHeight="11640" tabRatio="885" firstSheet="9"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基准地价修正" sheetId="43" state="hidden" r:id="rId19"/>
    <sheet name="比较法-工业" sheetId="37" state="hidden" r:id="rId20"/>
    <sheet name="比较法-办公" sheetId="34" r:id="rId21"/>
    <sheet name="收益法" sheetId="15" r:id="rId22"/>
    <sheet name="收益法-酒店模型" sheetId="63" state="hidden" r:id="rId23"/>
    <sheet name="典型户型修正" sheetId="31" r:id="rId24"/>
    <sheet name="比较法-住宅" sheetId="21" state="hidden" r:id="rId25"/>
    <sheet name="比较法-商业" sheetId="33"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0" hidden="1">'比较法-办公'!$A$1:$L$50</definedName>
    <definedName name="_xlnm._FilterDatabase" localSheetId="27" hidden="1">'比较法-仓储'!$A$1:$L$37</definedName>
    <definedName name="_xlnm._FilterDatabase" localSheetId="26" hidden="1">'比较法-车位'!$A$1:$L$39</definedName>
    <definedName name="_xlnm._FilterDatabase" localSheetId="19" hidden="1">'比较法-工业'!$A$1:$L$43</definedName>
    <definedName name="_xlnm._FilterDatabase" localSheetId="25" hidden="1">'比较法-商业'!$A$1:$L$49</definedName>
    <definedName name="_xlnm._FilterDatabase" localSheetId="24"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0">'比较法-办公'!$A$1:$K$55,'比较法-办公'!$A$58:$M$132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19">'比较法-工业'!$A$1:$K$48,'比较法-工业'!$A$51:$M$113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12" i="4" l="1"/>
  <c r="C30" i="37" l="1"/>
  <c r="J53" i="15" l="1"/>
  <c r="H20" i="1"/>
  <c r="E20" i="1" l="1"/>
  <c r="C37" i="34" s="1"/>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I37" i="34" l="1"/>
  <c r="G37" i="34"/>
  <c r="E37" i="34"/>
  <c r="E11" i="63"/>
  <c r="E7" i="63" s="1"/>
  <c r="C27" i="63" s="1"/>
  <c r="D7" i="63"/>
  <c r="C26" i="63" s="1"/>
  <c r="R14" i="63"/>
  <c r="R24" i="63" s="1"/>
  <c r="E23" i="63"/>
  <c r="D26" i="63"/>
  <c r="C29" i="63"/>
  <c r="C32" i="63" s="1"/>
  <c r="C38" i="63" s="1"/>
  <c r="C39" i="63" s="1"/>
  <c r="R35" i="63"/>
  <c r="U34" i="63" s="1"/>
  <c r="D29" i="63"/>
  <c r="AH5" i="59"/>
  <c r="AG5" i="59"/>
  <c r="AE5" i="59"/>
  <c r="AF5" i="59" s="1"/>
  <c r="AD5" i="59"/>
  <c r="Q5" i="59"/>
  <c r="P5" i="59"/>
  <c r="O5" i="59"/>
  <c r="N5" i="59"/>
  <c r="D32" i="63" l="1"/>
  <c r="R25" i="63"/>
  <c r="R19" i="63"/>
  <c r="E26" i="63"/>
  <c r="E38" i="63"/>
  <c r="E39" i="63" s="1"/>
  <c r="E32" i="63"/>
  <c r="E29" i="63"/>
  <c r="C40" i="63"/>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AH19" i="59"/>
  <c r="AG19" i="59"/>
  <c r="AE19" i="59"/>
  <c r="AF19" i="59"/>
  <c r="AD19" i="59"/>
  <c r="AH20" i="59"/>
  <c r="AG20" i="59"/>
  <c r="AE20" i="59"/>
  <c r="AF20" i="59" s="1"/>
  <c r="AD20" i="59"/>
  <c r="Q20" i="59"/>
  <c r="F20" i="59" s="1"/>
  <c r="P20" i="59"/>
  <c r="O20" i="59"/>
  <c r="N20" i="59"/>
  <c r="Q21" i="59"/>
  <c r="P21" i="59"/>
  <c r="O21" i="59"/>
  <c r="N21" i="59"/>
  <c r="D21" i="59"/>
  <c r="E20" i="59"/>
  <c r="E19" i="59"/>
  <c r="E18" i="59" s="1"/>
  <c r="E17" i="59" s="1"/>
  <c r="E16" i="59" s="1"/>
  <c r="E15" i="59" s="1"/>
  <c r="E14" i="59" s="1"/>
  <c r="E13" i="59" s="1"/>
  <c r="E12" i="59" s="1"/>
  <c r="C20" i="59"/>
  <c r="C19" i="59" s="1"/>
  <c r="A2" i="50"/>
  <c r="B16" i="60" s="1"/>
  <c r="D20" i="59"/>
  <c r="K60" i="15"/>
  <c r="P59" i="15" s="1"/>
  <c r="P72" i="15"/>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Y22" i="59" s="1"/>
  <c r="Z22" i="59" s="1"/>
  <c r="P23" i="59"/>
  <c r="Q23" i="59"/>
  <c r="AB23" i="59" s="1"/>
  <c r="N23"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5" i="59"/>
  <c r="F84" i="59"/>
  <c r="F83" i="59" s="1"/>
  <c r="F82" i="59" s="1"/>
  <c r="E84" i="59"/>
  <c r="E83" i="59" s="1"/>
  <c r="E82" i="59" s="1"/>
  <c r="C84" i="59"/>
  <c r="D84" i="59" s="1"/>
  <c r="B84" i="59"/>
  <c r="B83" i="59"/>
  <c r="B82" i="59" s="1"/>
  <c r="D81" i="59"/>
  <c r="F80" i="59"/>
  <c r="E80" i="59"/>
  <c r="E79" i="59" s="1"/>
  <c r="E78" i="59"/>
  <c r="C80" i="59"/>
  <c r="D80" i="59"/>
  <c r="B80" i="59"/>
  <c r="F79" i="59"/>
  <c r="F78" i="59" s="1"/>
  <c r="B79" i="59"/>
  <c r="B78" i="59" s="1"/>
  <c r="D77" i="59"/>
  <c r="Q76" i="59"/>
  <c r="P76" i="59"/>
  <c r="O76" i="59"/>
  <c r="N76" i="59"/>
  <c r="F76" i="59"/>
  <c r="V76" i="59"/>
  <c r="E76" i="59"/>
  <c r="U76" i="59"/>
  <c r="C76" i="59"/>
  <c r="T76" i="59"/>
  <c r="B76" i="59"/>
  <c r="S76" i="59" s="1"/>
  <c r="Q75" i="59"/>
  <c r="P75" i="59"/>
  <c r="O75" i="59"/>
  <c r="N75" i="59"/>
  <c r="F75" i="59"/>
  <c r="F74" i="59" s="1"/>
  <c r="B75" i="59"/>
  <c r="B74" i="59" s="1"/>
  <c r="Q74" i="59"/>
  <c r="P74" i="59"/>
  <c r="O74" i="59"/>
  <c r="N74" i="59"/>
  <c r="Q73" i="59"/>
  <c r="P73" i="59"/>
  <c r="O73" i="59"/>
  <c r="N73" i="59"/>
  <c r="D73" i="59"/>
  <c r="Q72" i="59"/>
  <c r="P72" i="59"/>
  <c r="O72" i="59"/>
  <c r="N72" i="59"/>
  <c r="F72" i="59"/>
  <c r="E72" i="59"/>
  <c r="U72" i="59" s="1"/>
  <c r="C72" i="59"/>
  <c r="T72" i="59" s="1"/>
  <c r="B72" i="59"/>
  <c r="Q71" i="59"/>
  <c r="P71" i="59"/>
  <c r="O71" i="59"/>
  <c r="N71" i="59"/>
  <c r="Q70" i="59"/>
  <c r="P70" i="59"/>
  <c r="O70" i="59"/>
  <c r="N70" i="59"/>
  <c r="Q69" i="59"/>
  <c r="P69" i="59"/>
  <c r="O69" i="59"/>
  <c r="N69" i="59"/>
  <c r="D69" i="59"/>
  <c r="S68" i="59"/>
  <c r="Q68" i="59"/>
  <c r="P68" i="59"/>
  <c r="O68" i="59"/>
  <c r="N68" i="59"/>
  <c r="F68" i="59"/>
  <c r="V68" i="59"/>
  <c r="E68" i="59"/>
  <c r="C68" i="59"/>
  <c r="T68" i="59" s="1"/>
  <c r="B68" i="59"/>
  <c r="Q67" i="59"/>
  <c r="P67" i="59"/>
  <c r="O67" i="59"/>
  <c r="N67" i="59"/>
  <c r="F67" i="59"/>
  <c r="F66" i="59" s="1"/>
  <c r="B67" i="59"/>
  <c r="B66" i="59" s="1"/>
  <c r="Q66" i="59"/>
  <c r="P66" i="59"/>
  <c r="O66" i="59"/>
  <c r="N66" i="59"/>
  <c r="Q65" i="59"/>
  <c r="P65" i="59"/>
  <c r="O65" i="59"/>
  <c r="N65" i="59"/>
  <c r="D65" i="59"/>
  <c r="F64" i="59"/>
  <c r="V64" i="59"/>
  <c r="E64" i="59"/>
  <c r="U64" i="59" s="1"/>
  <c r="E63" i="59"/>
  <c r="P63" i="59" s="1"/>
  <c r="C64" i="59"/>
  <c r="B64" i="59"/>
  <c r="S64" i="59" s="1"/>
  <c r="F63" i="59"/>
  <c r="F62" i="59" s="1"/>
  <c r="Q62" i="59" s="1"/>
  <c r="B63" i="59"/>
  <c r="B62" i="59" s="1"/>
  <c r="D61" i="59"/>
  <c r="Q60" i="59"/>
  <c r="P60" i="59"/>
  <c r="O60" i="59"/>
  <c r="N60" i="59"/>
  <c r="Q59" i="59"/>
  <c r="P59" i="59"/>
  <c r="O59" i="59"/>
  <c r="N59" i="59"/>
  <c r="Q58" i="59"/>
  <c r="P58" i="59"/>
  <c r="O58" i="59"/>
  <c r="N58" i="59"/>
  <c r="Q57" i="59"/>
  <c r="F58" i="59" s="1"/>
  <c r="P57" i="59"/>
  <c r="E58" i="59" s="1"/>
  <c r="E59" i="59" s="1"/>
  <c r="E60" i="59" s="1"/>
  <c r="U60" i="59" s="1"/>
  <c r="O57" i="59"/>
  <c r="C58" i="59" s="1"/>
  <c r="N57" i="59"/>
  <c r="B58" i="59" s="1"/>
  <c r="B59" i="59" s="1"/>
  <c r="B60" i="59" s="1"/>
  <c r="S60" i="59" s="1"/>
  <c r="D57" i="59"/>
  <c r="Q56" i="59"/>
  <c r="P56" i="59"/>
  <c r="O56" i="59"/>
  <c r="N56" i="59"/>
  <c r="Q55" i="59"/>
  <c r="P55" i="59"/>
  <c r="O55" i="59"/>
  <c r="N55" i="59"/>
  <c r="Q54" i="59"/>
  <c r="P54" i="59"/>
  <c r="O54" i="59"/>
  <c r="N54" i="59"/>
  <c r="Q53" i="59"/>
  <c r="F54" i="59" s="1"/>
  <c r="F55" i="59" s="1"/>
  <c r="F56" i="59" s="1"/>
  <c r="V56"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s="1"/>
  <c r="P45" i="59"/>
  <c r="E46" i="59" s="1"/>
  <c r="E47" i="59" s="1"/>
  <c r="E48" i="59" s="1"/>
  <c r="U48" i="59" s="1"/>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C39" i="59" s="1"/>
  <c r="N38" i="59"/>
  <c r="Q37" i="59"/>
  <c r="F38" i="59" s="1"/>
  <c r="F39" i="59" s="1"/>
  <c r="F40" i="59" s="1"/>
  <c r="V40" i="59" s="1"/>
  <c r="P37" i="59"/>
  <c r="E38" i="59"/>
  <c r="E39" i="59" s="1"/>
  <c r="E40" i="59" s="1"/>
  <c r="U40" i="59" s="1"/>
  <c r="O37" i="59"/>
  <c r="C38" i="59" s="1"/>
  <c r="N37" i="59"/>
  <c r="B38" i="59" s="1"/>
  <c r="B39" i="59" s="1"/>
  <c r="B40" i="59" s="1"/>
  <c r="S40" i="59" s="1"/>
  <c r="D37" i="59"/>
  <c r="Q36" i="59"/>
  <c r="P36" i="59"/>
  <c r="O36" i="59"/>
  <c r="N36" i="59"/>
  <c r="Q35" i="59"/>
  <c r="AB35" i="59" s="1"/>
  <c r="P35" i="59"/>
  <c r="O35" i="59"/>
  <c r="N35" i="59"/>
  <c r="X35" i="59"/>
  <c r="Q34" i="59"/>
  <c r="P34" i="59"/>
  <c r="O34" i="59"/>
  <c r="N34" i="59"/>
  <c r="X34" i="59" s="1"/>
  <c r="Q33" i="59"/>
  <c r="P33" i="59"/>
  <c r="AA33" i="59" s="1"/>
  <c r="O33" i="59"/>
  <c r="N33" i="59"/>
  <c r="D33" i="59"/>
  <c r="Q32" i="59"/>
  <c r="P32" i="59"/>
  <c r="AA32" i="59" s="1"/>
  <c r="O32" i="59"/>
  <c r="N32" i="59"/>
  <c r="X32" i="59" s="1"/>
  <c r="Q31" i="59"/>
  <c r="P31" i="59"/>
  <c r="AA31" i="59" s="1"/>
  <c r="O31" i="59"/>
  <c r="N31" i="59"/>
  <c r="X31" i="59" s="1"/>
  <c r="Q30" i="59"/>
  <c r="P30" i="59"/>
  <c r="AA30" i="59" s="1"/>
  <c r="O30" i="59"/>
  <c r="N30" i="59"/>
  <c r="X30" i="59" s="1"/>
  <c r="Q29" i="59"/>
  <c r="P29" i="59"/>
  <c r="AA29" i="59" s="1"/>
  <c r="O29" i="59"/>
  <c r="Y29" i="59" s="1"/>
  <c r="Z29" i="59" s="1"/>
  <c r="N29" i="59"/>
  <c r="D29" i="59"/>
  <c r="Q28" i="59"/>
  <c r="P28" i="59"/>
  <c r="AA28" i="59" s="1"/>
  <c r="O28" i="59"/>
  <c r="N28" i="59"/>
  <c r="Q27" i="59"/>
  <c r="P27" i="59"/>
  <c r="AA27" i="59" s="1"/>
  <c r="O27" i="59"/>
  <c r="N27" i="59"/>
  <c r="Q26" i="59"/>
  <c r="P26" i="59"/>
  <c r="AA26" i="59" s="1"/>
  <c r="O26" i="59"/>
  <c r="N26" i="59"/>
  <c r="Q25" i="59"/>
  <c r="P25" i="59"/>
  <c r="AA25" i="59" s="1"/>
  <c r="O25" i="59"/>
  <c r="Y25" i="59" s="1"/>
  <c r="Z25" i="59" s="1"/>
  <c r="N25" i="59"/>
  <c r="D25" i="59"/>
  <c r="O24" i="59"/>
  <c r="N24" i="59"/>
  <c r="X23" i="59" s="1"/>
  <c r="C24" i="59"/>
  <c r="T24" i="59" s="1"/>
  <c r="Y21" i="59"/>
  <c r="Z21" i="59" s="1"/>
  <c r="Y24" i="59"/>
  <c r="Z24" i="59" s="1"/>
  <c r="B24" i="59"/>
  <c r="B23" i="59" s="1"/>
  <c r="B22" i="59" s="1"/>
  <c r="X22" i="59"/>
  <c r="D38" i="59"/>
  <c r="C43" i="59"/>
  <c r="D43" i="59"/>
  <c r="D42" i="59"/>
  <c r="C47" i="59"/>
  <c r="C48" i="59" s="1"/>
  <c r="D46" i="59"/>
  <c r="P24" i="59"/>
  <c r="AA22" i="59" s="1"/>
  <c r="Q61" i="59"/>
  <c r="U68" i="59"/>
  <c r="E67" i="59"/>
  <c r="E66" i="59"/>
  <c r="Q24" i="59"/>
  <c r="C51" i="59"/>
  <c r="D51" i="59" s="1"/>
  <c r="D50" i="59"/>
  <c r="C59" i="59"/>
  <c r="D59" i="59" s="1"/>
  <c r="D58" i="59"/>
  <c r="N63" i="59"/>
  <c r="Q63" i="59"/>
  <c r="T64" i="59"/>
  <c r="O64" i="59"/>
  <c r="D64" i="59"/>
  <c r="C63" i="59"/>
  <c r="C62" i="59" s="1"/>
  <c r="D68" i="59"/>
  <c r="Q64" i="59"/>
  <c r="C71" i="59"/>
  <c r="E71" i="59"/>
  <c r="E70" i="59" s="1"/>
  <c r="D72" i="59"/>
  <c r="C75" i="59"/>
  <c r="D75" i="59" s="1"/>
  <c r="E75" i="59"/>
  <c r="E74" i="59" s="1"/>
  <c r="D76" i="59"/>
  <c r="C79" i="59"/>
  <c r="C83" i="59"/>
  <c r="D83" i="59" s="1"/>
  <c r="F24" i="59"/>
  <c r="AB21" i="59"/>
  <c r="E24" i="59"/>
  <c r="E23" i="59" s="1"/>
  <c r="E22" i="59" s="1"/>
  <c r="AA3" i="59"/>
  <c r="D79" i="59"/>
  <c r="C78" i="59"/>
  <c r="D78" i="59"/>
  <c r="D71" i="59"/>
  <c r="C70" i="59"/>
  <c r="D70" i="59" s="1"/>
  <c r="C82" i="59"/>
  <c r="D82" i="59" s="1"/>
  <c r="C74" i="59"/>
  <c r="D74" i="59" s="1"/>
  <c r="O63" i="59"/>
  <c r="C52" i="59"/>
  <c r="D52" i="59" s="1"/>
  <c r="F23" i="59"/>
  <c r="F22" i="59" s="1"/>
  <c r="V24"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c r="F83" i="21" s="1"/>
  <c r="F21" i="21"/>
  <c r="AA21" i="21" s="1"/>
  <c r="C21" i="21"/>
  <c r="G20" i="20"/>
  <c r="C25" i="40" s="1"/>
  <c r="C22" i="20"/>
  <c r="B75" i="43" s="1"/>
  <c r="S25" i="40"/>
  <c r="S18" i="36"/>
  <c r="W18" i="35"/>
  <c r="U18" i="35"/>
  <c r="S18" i="35"/>
  <c r="S21" i="37"/>
  <c r="U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U29" i="35" s="1"/>
  <c r="H34" i="37"/>
  <c r="AB34" i="37" s="1"/>
  <c r="D101" i="37"/>
  <c r="E101" i="37" s="1"/>
  <c r="F101" i="37" s="1"/>
  <c r="G101" i="37" s="1"/>
  <c r="H101" i="37" s="1"/>
  <c r="I101" i="37" s="1"/>
  <c r="J101" i="37" s="1"/>
  <c r="K101" i="37" s="1"/>
  <c r="L101" i="37" s="1"/>
  <c r="M101" i="37" s="1"/>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F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G103" i="39" s="1"/>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F35" i="35" s="1"/>
  <c r="AA35" i="35" s="1"/>
  <c r="B97" i="35"/>
  <c r="J34" i="35" s="1"/>
  <c r="AC34" i="35" s="1"/>
  <c r="B77" i="35"/>
  <c r="J25" i="35" s="1"/>
  <c r="W25" i="35" s="1"/>
  <c r="B75" i="35"/>
  <c r="B73" i="35"/>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AC27" i="34" s="1"/>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H12" i="34"/>
  <c r="U12" i="34" s="1"/>
  <c r="F12" i="34"/>
  <c r="AA12" i="34" s="1"/>
  <c r="Q11" i="34"/>
  <c r="Z11" i="34" s="1"/>
  <c r="Q10" i="34"/>
  <c r="Z10" i="34" s="1"/>
  <c r="F10" i="34"/>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AC38" i="33" s="1"/>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c r="H69" i="21" s="1"/>
  <c r="I69" i="21" s="1"/>
  <c r="J69" i="21" s="1"/>
  <c r="K69" i="21" s="1"/>
  <c r="L69" i="21" s="1"/>
  <c r="M69" i="21" s="1"/>
  <c r="D66" i="21"/>
  <c r="E66" i="21"/>
  <c r="F66" i="21" s="1"/>
  <c r="G66" i="21" s="1"/>
  <c r="H66" i="21" s="1"/>
  <c r="I66" i="21" s="1"/>
  <c r="D111" i="21"/>
  <c r="E111" i="21"/>
  <c r="F111" i="21"/>
  <c r="C111" i="21"/>
  <c r="D79" i="21"/>
  <c r="E79" i="21" s="1"/>
  <c r="F79" i="21" s="1"/>
  <c r="G79" i="21"/>
  <c r="D85" i="21"/>
  <c r="E85" i="21"/>
  <c r="F85" i="21" s="1"/>
  <c r="G85" i="21" s="1"/>
  <c r="D81" i="21"/>
  <c r="E81" i="21"/>
  <c r="F81" i="21" s="1"/>
  <c r="G81" i="21" s="1"/>
  <c r="D77" i="21"/>
  <c r="E77" i="21" s="1"/>
  <c r="F77" i="21" s="1"/>
  <c r="G77" i="21" s="1"/>
  <c r="H15" i="21"/>
  <c r="AB15" i="21" s="1"/>
  <c r="B130" i="21"/>
  <c r="B128" i="21"/>
  <c r="F45" i="21" s="1"/>
  <c r="AA45" i="21" s="1"/>
  <c r="B126" i="21"/>
  <c r="B98" i="21"/>
  <c r="J31" i="21" s="1"/>
  <c r="W31" i="21" s="1"/>
  <c r="B96" i="21"/>
  <c r="B94" i="21"/>
  <c r="B92" i="21"/>
  <c r="B90" i="21"/>
  <c r="B74" i="21"/>
  <c r="B72" i="21"/>
  <c r="J13" i="21" s="1"/>
  <c r="W13" i="21" s="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F45" i="39"/>
  <c r="J45" i="39"/>
  <c r="W45" i="39" s="1"/>
  <c r="J44" i="39"/>
  <c r="W44" i="39" s="1"/>
  <c r="F36" i="39"/>
  <c r="S36" i="39" s="1"/>
  <c r="H36" i="39"/>
  <c r="AB36" i="39" s="1"/>
  <c r="J36" i="39"/>
  <c r="AC36" i="39" s="1"/>
  <c r="S8" i="39"/>
  <c r="U38" i="39"/>
  <c r="H32" i="37"/>
  <c r="AB32" i="37" s="1"/>
  <c r="F39" i="37"/>
  <c r="S39" i="37" s="1"/>
  <c r="U14" i="37"/>
  <c r="W30" i="37"/>
  <c r="F29" i="36"/>
  <c r="AA29" i="36" s="1"/>
  <c r="F16" i="36"/>
  <c r="S16" i="36" s="1"/>
  <c r="U22" i="36"/>
  <c r="AA31" i="36"/>
  <c r="W31" i="36"/>
  <c r="U31" i="36"/>
  <c r="J33" i="36"/>
  <c r="W33" i="36" s="1"/>
  <c r="AB34" i="36"/>
  <c r="H22" i="35"/>
  <c r="AB22" i="35" s="1"/>
  <c r="U31" i="35"/>
  <c r="S32" i="35"/>
  <c r="S31" i="35"/>
  <c r="W31" i="35"/>
  <c r="U32" i="35"/>
  <c r="F36" i="34"/>
  <c r="AA36" i="34"/>
  <c r="U39" i="34"/>
  <c r="H39" i="33"/>
  <c r="AB39" i="33" s="1"/>
  <c r="F26" i="33"/>
  <c r="AA26" i="33" s="1"/>
  <c r="S40" i="33"/>
  <c r="AC38" i="21"/>
  <c r="H39" i="37"/>
  <c r="AB39" i="37"/>
  <c r="S27" i="35"/>
  <c r="F11" i="40"/>
  <c r="AA11" i="40" s="1"/>
  <c r="H11" i="40"/>
  <c r="AB11" i="40" s="1"/>
  <c r="W8" i="40"/>
  <c r="S34" i="40"/>
  <c r="S39" i="40"/>
  <c r="W39" i="40"/>
  <c r="F42" i="39"/>
  <c r="AA42" i="39" s="1"/>
  <c r="F41" i="39"/>
  <c r="AA41" i="39" s="1"/>
  <c r="H40" i="39"/>
  <c r="AB40" i="39" s="1"/>
  <c r="H39" i="39"/>
  <c r="S38" i="39"/>
  <c r="H34" i="39"/>
  <c r="AB34" i="39" s="1"/>
  <c r="E109" i="39"/>
  <c r="F109" i="39" s="1"/>
  <c r="G109" i="39" s="1"/>
  <c r="H31" i="39"/>
  <c r="AB31" i="39" s="1"/>
  <c r="F31" i="39"/>
  <c r="AA31" i="39" s="1"/>
  <c r="H19" i="39"/>
  <c r="F19" i="39"/>
  <c r="S19" i="39" s="1"/>
  <c r="H17" i="39"/>
  <c r="U17" i="39" s="1"/>
  <c r="F17" i="39"/>
  <c r="AA17" i="39" s="1"/>
  <c r="J23" i="40"/>
  <c r="AC23" i="40" s="1"/>
  <c r="H42" i="39"/>
  <c r="AB42" i="39" s="1"/>
  <c r="J34" i="39"/>
  <c r="AC34" i="39" s="1"/>
  <c r="H109" i="39"/>
  <c r="I109" i="39" s="1"/>
  <c r="J109" i="39" s="1"/>
  <c r="K109" i="39" s="1"/>
  <c r="L109" i="39" s="1"/>
  <c r="M109" i="39" s="1"/>
  <c r="J31" i="39"/>
  <c r="H29" i="39"/>
  <c r="U29" i="39"/>
  <c r="J19" i="39"/>
  <c r="AC19" i="39"/>
  <c r="J17" i="39"/>
  <c r="W17" i="39"/>
  <c r="J29" i="39"/>
  <c r="AC29" i="39"/>
  <c r="F29" i="39"/>
  <c r="AA29" i="39"/>
  <c r="F11" i="21"/>
  <c r="S11" i="21"/>
  <c r="H11" i="39"/>
  <c r="AB11" i="39"/>
  <c r="H11" i="21"/>
  <c r="U11" i="21" s="1"/>
  <c r="J11" i="21"/>
  <c r="AC11" i="21" s="1"/>
  <c r="U33" i="21"/>
  <c r="H36" i="40"/>
  <c r="U36" i="40"/>
  <c r="F35" i="40"/>
  <c r="S35" i="40"/>
  <c r="J30" i="40"/>
  <c r="W30" i="40"/>
  <c r="F30" i="40"/>
  <c r="AA30" i="40"/>
  <c r="G96" i="40"/>
  <c r="H96" i="40" s="1"/>
  <c r="I96" i="40" s="1"/>
  <c r="J96" i="40" s="1"/>
  <c r="K96" i="40" s="1"/>
  <c r="L96" i="40" s="1"/>
  <c r="M96" i="40" s="1"/>
  <c r="H27" i="40"/>
  <c r="U27" i="40"/>
  <c r="H23" i="40"/>
  <c r="AB23" i="40" s="1"/>
  <c r="J11" i="40"/>
  <c r="W11" i="40" s="1"/>
  <c r="AA12" i="33"/>
  <c r="F37" i="39"/>
  <c r="S37" i="39" s="1"/>
  <c r="J34" i="36"/>
  <c r="W34" i="36" s="1"/>
  <c r="U30" i="36"/>
  <c r="F22" i="35"/>
  <c r="AA22" i="35" s="1"/>
  <c r="H10" i="35"/>
  <c r="U10" i="35" s="1"/>
  <c r="AB29" i="36"/>
  <c r="E85" i="36"/>
  <c r="F85" i="36" s="1"/>
  <c r="G85" i="36" s="1"/>
  <c r="H85" i="36" s="1"/>
  <c r="I85" i="36" s="1"/>
  <c r="J85" i="36" s="1"/>
  <c r="K85" i="36" s="1"/>
  <c r="L85" i="36" s="1"/>
  <c r="M85" i="36" s="1"/>
  <c r="J29" i="36"/>
  <c r="AC29" i="36"/>
  <c r="AA12" i="36"/>
  <c r="F34" i="36"/>
  <c r="AA34" i="36"/>
  <c r="H20" i="36"/>
  <c r="J20" i="36"/>
  <c r="W20" i="36" s="1"/>
  <c r="W9" i="35"/>
  <c r="F14" i="35"/>
  <c r="F23" i="35"/>
  <c r="AA23" i="35" s="1"/>
  <c r="J32" i="35"/>
  <c r="J16" i="35"/>
  <c r="W16" i="35" s="1"/>
  <c r="H14" i="35"/>
  <c r="AB14" i="35" s="1"/>
  <c r="H33" i="35"/>
  <c r="AB33" i="35" s="1"/>
  <c r="S8" i="35"/>
  <c r="W8" i="35"/>
  <c r="J20" i="35"/>
  <c r="H20" i="35"/>
  <c r="U20" i="35" s="1"/>
  <c r="F20" i="35"/>
  <c r="J34" i="37"/>
  <c r="W34" i="37" s="1"/>
  <c r="AA39" i="37"/>
  <c r="J43" i="34"/>
  <c r="AC43" i="34" s="1"/>
  <c r="H43" i="34"/>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H25" i="33"/>
  <c r="AB25" i="33" s="1"/>
  <c r="J23" i="33"/>
  <c r="F23" i="33"/>
  <c r="AA23" i="33" s="1"/>
  <c r="H23" i="33"/>
  <c r="AB23" i="33" s="1"/>
  <c r="F19" i="33"/>
  <c r="S19" i="33"/>
  <c r="J19" i="33"/>
  <c r="W19" i="33"/>
  <c r="J17" i="33"/>
  <c r="AC17" i="33"/>
  <c r="H17" i="33"/>
  <c r="AB17" i="33"/>
  <c r="J15" i="33"/>
  <c r="AC15" i="33"/>
  <c r="F11" i="33"/>
  <c r="AA11" i="33"/>
  <c r="H10" i="33"/>
  <c r="S26" i="33"/>
  <c r="U40" i="33"/>
  <c r="U8" i="33"/>
  <c r="F37" i="40"/>
  <c r="AA37" i="40" s="1"/>
  <c r="F36" i="40"/>
  <c r="J27" i="40"/>
  <c r="F27" i="40"/>
  <c r="F23" i="40"/>
  <c r="AA23" i="40" s="1"/>
  <c r="AC11" i="40"/>
  <c r="AB30" i="36"/>
  <c r="AC34" i="36"/>
  <c r="F29" i="35"/>
  <c r="S29" i="35" s="1"/>
  <c r="U34" i="37"/>
  <c r="AB42" i="34"/>
  <c r="H38" i="34"/>
  <c r="AB38" i="34" s="1"/>
  <c r="H37" i="33"/>
  <c r="AB37" i="33" s="1"/>
  <c r="AA37" i="33"/>
  <c r="H36" i="33"/>
  <c r="U36" i="33" s="1"/>
  <c r="S25" i="33"/>
  <c r="F17" i="33"/>
  <c r="AA17" i="33"/>
  <c r="H15" i="33"/>
  <c r="AB15" i="33" s="1"/>
  <c r="AB11" i="33"/>
  <c r="AC42" i="34"/>
  <c r="W42" i="34"/>
  <c r="AA42" i="34"/>
  <c r="S42" i="34"/>
  <c r="W38" i="34"/>
  <c r="J37" i="33"/>
  <c r="AC37" i="33"/>
  <c r="J36" i="33"/>
  <c r="AC36" i="33"/>
  <c r="J11" i="33"/>
  <c r="AC11" i="33"/>
  <c r="J42" i="21"/>
  <c r="AC42" i="21" s="1"/>
  <c r="H42" i="21"/>
  <c r="J10" i="35"/>
  <c r="AC10" i="35" s="1"/>
  <c r="J14" i="21"/>
  <c r="F14" i="21"/>
  <c r="S14" i="21" s="1"/>
  <c r="H14" i="21"/>
  <c r="AB14" i="21" s="1"/>
  <c r="H28" i="21"/>
  <c r="AB28" i="21" s="1"/>
  <c r="F28" i="21"/>
  <c r="AA28" i="21" s="1"/>
  <c r="J28" i="21"/>
  <c r="W28" i="21" s="1"/>
  <c r="H30" i="21"/>
  <c r="AB30" i="21" s="1"/>
  <c r="F30" i="21"/>
  <c r="S30" i="21" s="1"/>
  <c r="J30" i="21"/>
  <c r="J44" i="21"/>
  <c r="AC44" i="21" s="1"/>
  <c r="H44" i="21"/>
  <c r="F44" i="21"/>
  <c r="AA44" i="21" s="1"/>
  <c r="H46" i="2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H10" i="36"/>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AB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s="1"/>
  <c r="H37" i="37"/>
  <c r="U37" i="37" s="1"/>
  <c r="AC12" i="40"/>
  <c r="W12" i="40"/>
  <c r="H14" i="33"/>
  <c r="U14" i="33" s="1"/>
  <c r="F14" i="33"/>
  <c r="AA14" i="33" s="1"/>
  <c r="J14" i="33"/>
  <c r="AC14" i="33" s="1"/>
  <c r="H30" i="33"/>
  <c r="AB30" i="33" s="1"/>
  <c r="F30" i="33"/>
  <c r="S30" i="33" s="1"/>
  <c r="J30" i="33"/>
  <c r="AC30" i="33" s="1"/>
  <c r="H44" i="33"/>
  <c r="AB44" i="33" s="1"/>
  <c r="J44" i="33"/>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F25" i="35"/>
  <c r="S25" i="35" s="1"/>
  <c r="J35" i="35"/>
  <c r="AC35" i="35" s="1"/>
  <c r="H35" i="35"/>
  <c r="J25" i="36"/>
  <c r="AC25" i="36" s="1"/>
  <c r="F25" i="36"/>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AC32" i="34"/>
  <c r="AC14" i="34"/>
  <c r="J10" i="36"/>
  <c r="AC10" i="36"/>
  <c r="U14" i="21"/>
  <c r="S46" i="33"/>
  <c r="AC13" i="36"/>
  <c r="AC11" i="36"/>
  <c r="U32" i="36"/>
  <c r="AB45" i="33"/>
  <c r="U31" i="33"/>
  <c r="AC29"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H23" i="37"/>
  <c r="AB23" i="37" s="1"/>
  <c r="J32" i="37"/>
  <c r="F36" i="37"/>
  <c r="AA36" i="37" s="1"/>
  <c r="F37" i="37"/>
  <c r="AA37" i="37" s="1"/>
  <c r="F31" i="40"/>
  <c r="AA31" i="40" s="1"/>
  <c r="H31" i="40"/>
  <c r="U31" i="40" s="1"/>
  <c r="F32" i="40"/>
  <c r="S32" i="40" s="1"/>
  <c r="H32" i="40"/>
  <c r="U32" i="40" s="1"/>
  <c r="J36" i="40"/>
  <c r="W36" i="40" s="1"/>
  <c r="AB32" i="40"/>
  <c r="H42" i="33"/>
  <c r="U42" i="33" s="1"/>
  <c r="J23" i="37"/>
  <c r="S30" i="31"/>
  <c r="U11" i="40"/>
  <c r="AC33" i="36"/>
  <c r="AB20" i="35"/>
  <c r="AA11" i="35"/>
  <c r="AC12" i="35"/>
  <c r="S28" i="37"/>
  <c r="U39" i="37"/>
  <c r="S25" i="37"/>
  <c r="W47" i="34"/>
  <c r="W14" i="33"/>
  <c r="AA13" i="33"/>
  <c r="AC31" i="33"/>
  <c r="AA30" i="33"/>
  <c r="S11" i="33"/>
  <c r="AC33" i="21"/>
  <c r="AB38" i="21"/>
  <c r="W10" i="36"/>
  <c r="W38" i="37"/>
  <c r="H37" i="21"/>
  <c r="U37" i="21" s="1"/>
  <c r="J37" i="21"/>
  <c r="H19" i="34"/>
  <c r="U19" i="34" s="1"/>
  <c r="F36" i="35"/>
  <c r="AA36" i="35" s="1"/>
  <c r="J9" i="37"/>
  <c r="W9" i="37" s="1"/>
  <c r="H9" i="37"/>
  <c r="F9" i="37"/>
  <c r="AA9" i="37" s="1"/>
  <c r="F11" i="37"/>
  <c r="S11" i="37" s="1"/>
  <c r="J42" i="39"/>
  <c r="AC42" i="39" s="1"/>
  <c r="S37" i="21"/>
  <c r="AB37" i="21"/>
  <c r="AB27" i="40"/>
  <c r="U31" i="39"/>
  <c r="C12" i="43"/>
  <c r="D15" i="47"/>
  <c r="D17" i="47"/>
  <c r="D19" i="47"/>
  <c r="D21" i="47"/>
  <c r="D23" i="47"/>
  <c r="D27" i="47"/>
  <c r="D33" i="47"/>
  <c r="D37" i="47"/>
  <c r="D39" i="47"/>
  <c r="D41" i="47"/>
  <c r="D43" i="47"/>
  <c r="D16" i="47"/>
  <c r="D18" i="47"/>
  <c r="D20" i="47"/>
  <c r="D22" i="47"/>
  <c r="D26" i="47"/>
  <c r="D28" i="47"/>
  <c r="F26" i="47" s="1"/>
  <c r="B24" i="47" s="1"/>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J25" i="39"/>
  <c r="F25" i="39"/>
  <c r="S25" i="39" s="1"/>
  <c r="F15" i="39"/>
  <c r="H15" i="39"/>
  <c r="U15" i="39" s="1"/>
  <c r="J15" i="39"/>
  <c r="W15" i="39" s="1"/>
  <c r="H41" i="39"/>
  <c r="F11" i="39"/>
  <c r="AA11" i="39" s="1"/>
  <c r="H21" i="39"/>
  <c r="F32" i="39"/>
  <c r="S32" i="39" s="1"/>
  <c r="W29" i="39"/>
  <c r="W19" i="39"/>
  <c r="U34" i="39"/>
  <c r="S42" i="39"/>
  <c r="S41" i="39"/>
  <c r="W39" i="39"/>
  <c r="W8" i="39"/>
  <c r="W21" i="39"/>
  <c r="J11" i="39"/>
  <c r="W11" i="39" s="1"/>
  <c r="J32" i="39"/>
  <c r="AC32" i="39" s="1"/>
  <c r="E66" i="39"/>
  <c r="E61" i="40"/>
  <c r="F34" i="43"/>
  <c r="C21" i="11"/>
  <c r="H55" i="39"/>
  <c r="S30" i="40"/>
  <c r="G60" i="40"/>
  <c r="C60" i="40" s="1"/>
  <c r="H16" i="44"/>
  <c r="D17" i="43"/>
  <c r="I17" i="43"/>
  <c r="D108" i="9"/>
  <c r="F22" i="43"/>
  <c r="G22" i="43"/>
  <c r="H14" i="44"/>
  <c r="W40" i="39"/>
  <c r="S39" i="34"/>
  <c r="AC10" i="34"/>
  <c r="AB30" i="34"/>
  <c r="AB12" i="34"/>
  <c r="AC30" i="34"/>
  <c r="H23" i="34"/>
  <c r="AB23" i="34" s="1"/>
  <c r="F33" i="34"/>
  <c r="S33" i="34" s="1"/>
  <c r="F109" i="34"/>
  <c r="G109" i="34" s="1"/>
  <c r="H109" i="34" s="1"/>
  <c r="I109" i="34" s="1"/>
  <c r="J109" i="34" s="1"/>
  <c r="K109" i="34" s="1"/>
  <c r="L109" i="34" s="1"/>
  <c r="M109" i="34" s="1"/>
  <c r="H36" i="34"/>
  <c r="F35" i="34"/>
  <c r="AA35" i="34" s="1"/>
  <c r="F107" i="34"/>
  <c r="G107" i="34" s="1"/>
  <c r="H107" i="34" s="1"/>
  <c r="I107" i="34" s="1"/>
  <c r="J107" i="34" s="1"/>
  <c r="K107" i="34" s="1"/>
  <c r="L107" i="34" s="1"/>
  <c r="M107" i="34" s="1"/>
  <c r="J35" i="34"/>
  <c r="AC35" i="34" s="1"/>
  <c r="S28" i="34"/>
  <c r="J33" i="34"/>
  <c r="W33" i="34" s="1"/>
  <c r="J37" i="34"/>
  <c r="W37" i="34" s="1"/>
  <c r="S23" i="34"/>
  <c r="AB33" i="34"/>
  <c r="J26" i="35"/>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C105" i="43" s="1"/>
  <c r="N101" i="43"/>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s="1"/>
  <c r="AB40" i="37"/>
  <c r="U40" i="37"/>
  <c r="U15" i="21"/>
  <c r="AA16" i="35"/>
  <c r="S14" i="39"/>
  <c r="AB29" i="35"/>
  <c r="AA35" i="39"/>
  <c r="U36" i="37"/>
  <c r="AB46" i="34"/>
  <c r="S14" i="34"/>
  <c r="AA14" i="34"/>
  <c r="W44" i="21"/>
  <c r="U38" i="34"/>
  <c r="F40" i="34"/>
  <c r="AA40" i="34" s="1"/>
  <c r="G118" i="34"/>
  <c r="U20" i="36"/>
  <c r="AB20" i="36"/>
  <c r="AA16" i="36"/>
  <c r="AC44" i="39"/>
  <c r="H13" i="21"/>
  <c r="F13" i="21"/>
  <c r="AA13" i="21" s="1"/>
  <c r="J45" i="21"/>
  <c r="AC45" i="21" s="1"/>
  <c r="S42" i="21"/>
  <c r="C23" i="40"/>
  <c r="AC8" i="34"/>
  <c r="W12" i="34"/>
  <c r="AC12" i="34"/>
  <c r="J9" i="34"/>
  <c r="F9" i="34"/>
  <c r="AA19" i="34"/>
  <c r="S19" i="34"/>
  <c r="J12" i="36"/>
  <c r="H12" i="36"/>
  <c r="AB12" i="36" s="1"/>
  <c r="AA9" i="39"/>
  <c r="S9" i="39"/>
  <c r="AB12" i="39"/>
  <c r="U12" i="39"/>
  <c r="J12" i="39"/>
  <c r="W12" i="39" s="1"/>
  <c r="F12" i="39"/>
  <c r="S12" i="39" s="1"/>
  <c r="F15" i="21"/>
  <c r="S15" i="21" s="1"/>
  <c r="C106" i="9"/>
  <c r="H102" i="9" s="1"/>
  <c r="AA30" i="21"/>
  <c r="J36" i="34"/>
  <c r="W36" i="34" s="1"/>
  <c r="J19" i="40"/>
  <c r="AC19" i="40" s="1"/>
  <c r="W9" i="39"/>
  <c r="U14" i="39"/>
  <c r="H32" i="39"/>
  <c r="U32" i="39" s="1"/>
  <c r="F21" i="39"/>
  <c r="F31" i="37"/>
  <c r="AA31" i="37" s="1"/>
  <c r="U25" i="36"/>
  <c r="S44" i="21"/>
  <c r="AC36" i="40"/>
  <c r="F17" i="37"/>
  <c r="AA17" i="37" s="1"/>
  <c r="AA29" i="33"/>
  <c r="AB28" i="36"/>
  <c r="AB13" i="40"/>
  <c r="U33" i="40"/>
  <c r="S12" i="40"/>
  <c r="AB13" i="37"/>
  <c r="U44" i="33"/>
  <c r="U11" i="36"/>
  <c r="AB11" i="35"/>
  <c r="U32" i="34"/>
  <c r="AA30" i="34"/>
  <c r="J14" i="36"/>
  <c r="S15" i="34"/>
  <c r="J40" i="34"/>
  <c r="AC40" i="34" s="1"/>
  <c r="S37" i="40"/>
  <c r="H19" i="33"/>
  <c r="AB19" i="33"/>
  <c r="U23" i="33"/>
  <c r="AA41" i="33"/>
  <c r="J23" i="34"/>
  <c r="W23" i="34"/>
  <c r="AC30" i="40"/>
  <c r="AB17" i="39"/>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H28" i="34"/>
  <c r="U28" i="34" s="1"/>
  <c r="E116" i="34"/>
  <c r="F116" i="34" s="1"/>
  <c r="G116" i="34" s="1"/>
  <c r="H116" i="34" s="1"/>
  <c r="I116" i="34" s="1"/>
  <c r="J116" i="34" s="1"/>
  <c r="K116" i="34" s="1"/>
  <c r="L116" i="34" s="1"/>
  <c r="M116" i="34" s="1"/>
  <c r="J39" i="34"/>
  <c r="J27" i="36"/>
  <c r="W27" i="36" s="1"/>
  <c r="F37" i="34"/>
  <c r="AA37" i="34" s="1"/>
  <c r="H37" i="34"/>
  <c r="U37" i="34" s="1"/>
  <c r="AA32" i="37"/>
  <c r="U12" i="40"/>
  <c r="AC14" i="39"/>
  <c r="AC46" i="34"/>
  <c r="AA32" i="34"/>
  <c r="S31" i="33"/>
  <c r="W28" i="33"/>
  <c r="W34" i="33"/>
  <c r="AC34" i="33"/>
  <c r="AA14" i="35"/>
  <c r="S14" i="35"/>
  <c r="W11" i="21"/>
  <c r="S45" i="39"/>
  <c r="AA45" i="39"/>
  <c r="H27" i="21"/>
  <c r="AB27" i="21" s="1"/>
  <c r="J27" i="21"/>
  <c r="W27" i="21" s="1"/>
  <c r="F27" i="21"/>
  <c r="AA27" i="21" s="1"/>
  <c r="J29" i="21"/>
  <c r="H29" i="21"/>
  <c r="F29" i="21"/>
  <c r="AA29" i="21" s="1"/>
  <c r="H31" i="21"/>
  <c r="U31" i="21" s="1"/>
  <c r="H39" i="21"/>
  <c r="U39" i="21"/>
  <c r="F117" i="21"/>
  <c r="G117" i="21"/>
  <c r="AA9" i="21"/>
  <c r="AA15" i="33"/>
  <c r="S15" i="33"/>
  <c r="E117" i="33"/>
  <c r="F117" i="33" s="1"/>
  <c r="G117" i="33" s="1"/>
  <c r="J39" i="33"/>
  <c r="AC39" i="33"/>
  <c r="E125" i="33"/>
  <c r="H43" i="33"/>
  <c r="U43" i="33" s="1"/>
  <c r="E91" i="33"/>
  <c r="F91" i="33" s="1"/>
  <c r="G91" i="33" s="1"/>
  <c r="H91" i="33" s="1"/>
  <c r="I91" i="33" s="1"/>
  <c r="J91" i="33" s="1"/>
  <c r="K91" i="33" s="1"/>
  <c r="L91" i="33" s="1"/>
  <c r="M91" i="33" s="1"/>
  <c r="F27" i="33"/>
  <c r="H41" i="33"/>
  <c r="U41" i="33" s="1"/>
  <c r="S12" i="34"/>
  <c r="AA11" i="34"/>
  <c r="S11" i="34"/>
  <c r="F80" i="34"/>
  <c r="G80" i="34" s="1"/>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J29" i="37"/>
  <c r="W29" i="37" s="1"/>
  <c r="F29" i="37"/>
  <c r="S29" i="37" s="1"/>
  <c r="H31" i="37"/>
  <c r="AB31" i="37" s="1"/>
  <c r="J36" i="37"/>
  <c r="W36" i="37" s="1"/>
  <c r="J40" i="37"/>
  <c r="W40" i="37"/>
  <c r="F40" i="37"/>
  <c r="AA40" i="37"/>
  <c r="U8" i="39"/>
  <c r="AB8" i="39"/>
  <c r="J29" i="35"/>
  <c r="AC29" i="35" s="1"/>
  <c r="AC30" i="36"/>
  <c r="W30" i="36"/>
  <c r="H35" i="39"/>
  <c r="U35" i="39" s="1"/>
  <c r="J35" i="39"/>
  <c r="AA19" i="39"/>
  <c r="H16" i="36"/>
  <c r="U16" i="36" s="1"/>
  <c r="U32" i="37"/>
  <c r="E101" i="21"/>
  <c r="F101" i="21" s="1"/>
  <c r="G101" i="21" s="1"/>
  <c r="H101" i="21" s="1"/>
  <c r="I101" i="21" s="1"/>
  <c r="J101" i="21" s="1"/>
  <c r="K101" i="21" s="1"/>
  <c r="L101" i="21" s="1"/>
  <c r="M101" i="21" s="1"/>
  <c r="F32" i="21"/>
  <c r="S32" i="21" s="1"/>
  <c r="J32" i="21"/>
  <c r="W32" i="21" s="1"/>
  <c r="H32" i="21"/>
  <c r="F40" i="21"/>
  <c r="H40" i="21"/>
  <c r="AB40" i="21" s="1"/>
  <c r="J40" i="21"/>
  <c r="AC40" i="21" s="1"/>
  <c r="B44" i="47"/>
  <c r="C21" i="40"/>
  <c r="AC33" i="33"/>
  <c r="W33" i="33"/>
  <c r="S34" i="33"/>
  <c r="AA38" i="33"/>
  <c r="S38" i="33"/>
  <c r="W38" i="33"/>
  <c r="J9" i="33"/>
  <c r="AC9" i="33" s="1"/>
  <c r="F9" i="33"/>
  <c r="AA10" i="34"/>
  <c r="S10" i="34"/>
  <c r="F25" i="34"/>
  <c r="S25" i="34" s="1"/>
  <c r="E126" i="34"/>
  <c r="F126" i="34" s="1"/>
  <c r="G126" i="34" s="1"/>
  <c r="H44" i="34"/>
  <c r="U44" i="34"/>
  <c r="W9" i="36"/>
  <c r="AB26" i="36"/>
  <c r="U26"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J40" i="40"/>
  <c r="AC40" i="40" s="1"/>
  <c r="H40" i="40"/>
  <c r="AB40" i="40" s="1"/>
  <c r="F40" i="40"/>
  <c r="AA40" i="40" s="1"/>
  <c r="N6" i="43"/>
  <c r="M1" i="43"/>
  <c r="F101" i="9"/>
  <c r="F33" i="9"/>
  <c r="C25" i="57"/>
  <c r="F59" i="43"/>
  <c r="H63" i="43" s="1"/>
  <c r="G15" i="47"/>
  <c r="U15" i="37"/>
  <c r="AB24" i="36"/>
  <c r="H25" i="34"/>
  <c r="U25" i="34" s="1"/>
  <c r="AB35" i="39"/>
  <c r="AC40" i="37"/>
  <c r="S27" i="37"/>
  <c r="AA34" i="35"/>
  <c r="AB24" i="35"/>
  <c r="J17" i="34"/>
  <c r="AC17" i="34" s="1"/>
  <c r="F17" i="34"/>
  <c r="AA17" i="34" s="1"/>
  <c r="H27" i="33"/>
  <c r="AB27" i="33" s="1"/>
  <c r="F43" i="33"/>
  <c r="S43" i="33" s="1"/>
  <c r="F125" i="33"/>
  <c r="G125" i="33" s="1"/>
  <c r="J43" i="33"/>
  <c r="AC43" i="33" s="1"/>
  <c r="S29" i="21"/>
  <c r="AC27" i="21"/>
  <c r="H27" i="36"/>
  <c r="AB27" i="36"/>
  <c r="F27" i="36"/>
  <c r="AA27" i="36"/>
  <c r="J28" i="34"/>
  <c r="W28" i="34"/>
  <c r="H11" i="34"/>
  <c r="U11" i="34" s="1"/>
  <c r="S17" i="37"/>
  <c r="J11" i="37"/>
  <c r="AC11" i="37" s="1"/>
  <c r="AC36" i="34"/>
  <c r="AC12" i="39"/>
  <c r="S45" i="21"/>
  <c r="AC37" i="37"/>
  <c r="F23" i="39"/>
  <c r="AA23" i="39" s="1"/>
  <c r="F97" i="39"/>
  <c r="G97" i="39" s="1"/>
  <c r="S26" i="37"/>
  <c r="S24" i="36"/>
  <c r="F44" i="34"/>
  <c r="AA44" i="34" s="1"/>
  <c r="J44" i="34"/>
  <c r="AC44" i="34" s="1"/>
  <c r="U31" i="37"/>
  <c r="H60" i="37"/>
  <c r="H10" i="37"/>
  <c r="U10" i="37"/>
  <c r="AC27" i="36"/>
  <c r="U9" i="34"/>
  <c r="J32" i="33"/>
  <c r="W32" i="33" s="1"/>
  <c r="H32" i="33"/>
  <c r="AB32" i="33" s="1"/>
  <c r="W40" i="34"/>
  <c r="U12" i="36"/>
  <c r="W45" i="21"/>
  <c r="AC13" i="21"/>
  <c r="S44" i="34"/>
  <c r="S27" i="36"/>
  <c r="I60" i="37"/>
  <c r="J10" i="37"/>
  <c r="AC10" i="37"/>
  <c r="H23" i="39"/>
  <c r="AB23" i="39"/>
  <c r="J11" i="34"/>
  <c r="W11" i="34" s="1"/>
  <c r="J27" i="33"/>
  <c r="W27" i="33" s="1"/>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C38" i="40"/>
  <c r="W35" i="40"/>
  <c r="W33" i="40"/>
  <c r="W34" i="40"/>
  <c r="AB39" i="40"/>
  <c r="J37" i="40"/>
  <c r="H35" i="40"/>
  <c r="H37" i="40"/>
  <c r="H28" i="40"/>
  <c r="AB28" i="40" s="1"/>
  <c r="F28" i="40"/>
  <c r="J28" i="40"/>
  <c r="W28" i="40" s="1"/>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AA35" i="40"/>
  <c r="AC38" i="39"/>
  <c r="AC17" i="39"/>
  <c r="AA37" i="39"/>
  <c r="AB29" i="39"/>
  <c r="S23" i="39"/>
  <c r="AC23" i="39"/>
  <c r="W27" i="39"/>
  <c r="AC27" i="39"/>
  <c r="AC15" i="39"/>
  <c r="AB15" i="39"/>
  <c r="U42" i="39"/>
  <c r="AB13" i="39"/>
  <c r="AB27" i="39"/>
  <c r="U27" i="39"/>
  <c r="AA27" i="39"/>
  <c r="S27" i="39"/>
  <c r="S40" i="39"/>
  <c r="S31" i="39"/>
  <c r="AC11" i="39"/>
  <c r="AA12" i="39"/>
  <c r="S13" i="39"/>
  <c r="S34" i="36"/>
  <c r="AC24" i="36"/>
  <c r="S11" i="36"/>
  <c r="S12" i="36"/>
  <c r="S22" i="36"/>
  <c r="AC16" i="36"/>
  <c r="S26" i="36"/>
  <c r="U27" i="36"/>
  <c r="AC26" i="36"/>
  <c r="S14" i="36"/>
  <c r="U14" i="36"/>
  <c r="S10" i="36"/>
  <c r="W18" i="36"/>
  <c r="AC18" i="36"/>
  <c r="W25" i="36"/>
  <c r="AC32" i="36"/>
  <c r="AC20" i="36"/>
  <c r="W29" i="36"/>
  <c r="W28" i="36"/>
  <c r="W8" i="36"/>
  <c r="AB16" i="36"/>
  <c r="U13" i="36"/>
  <c r="AB18" i="36"/>
  <c r="U18" i="36"/>
  <c r="S28" i="36"/>
  <c r="W35" i="35"/>
  <c r="W24" i="35"/>
  <c r="AC25" i="35"/>
  <c r="S23" i="35"/>
  <c r="W11" i="35"/>
  <c r="W10" i="35"/>
  <c r="AB16" i="35"/>
  <c r="W14" i="35"/>
  <c r="W34" i="35"/>
  <c r="W28" i="35"/>
  <c r="AC27" i="35"/>
  <c r="U14" i="35"/>
  <c r="AB10" i="35"/>
  <c r="U8" i="35"/>
  <c r="AA13" i="35"/>
  <c r="AB13" i="35"/>
  <c r="S34" i="37"/>
  <c r="W26" i="37"/>
  <c r="AB28" i="37"/>
  <c r="J33" i="37"/>
  <c r="AC33" i="37" s="1"/>
  <c r="F33" i="37"/>
  <c r="AA33" i="37" s="1"/>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J19" i="37"/>
  <c r="F19" i="37"/>
  <c r="AA19" i="37" s="1"/>
  <c r="G75" i="37"/>
  <c r="H19" i="37"/>
  <c r="U19" i="37" s="1"/>
  <c r="W17" i="37"/>
  <c r="AC17" i="37"/>
  <c r="AB17" i="37"/>
  <c r="S15" i="37"/>
  <c r="J15" i="37"/>
  <c r="W15" i="37" s="1"/>
  <c r="W10" i="37"/>
  <c r="S10" i="37"/>
  <c r="AB10" i="37"/>
  <c r="AC21" i="37"/>
  <c r="W21" i="37"/>
  <c r="W11" i="37"/>
  <c r="W14" i="37"/>
  <c r="W39" i="37"/>
  <c r="AB11" i="37"/>
  <c r="S37" i="37"/>
  <c r="AA14" i="37"/>
  <c r="AA38" i="37"/>
  <c r="W35" i="34"/>
  <c r="AB11" i="34"/>
  <c r="AC28" i="34"/>
  <c r="S40" i="34"/>
  <c r="AB41" i="34"/>
  <c r="S38" i="34"/>
  <c r="S36" i="34"/>
  <c r="S43" i="34"/>
  <c r="AB19" i="34"/>
  <c r="AB17" i="34"/>
  <c r="W15" i="34"/>
  <c r="W31" i="34"/>
  <c r="U23" i="34"/>
  <c r="U21" i="34"/>
  <c r="AB21" i="34"/>
  <c r="AA25" i="34"/>
  <c r="AA41" i="34"/>
  <c r="AA46" i="34"/>
  <c r="W42" i="33"/>
  <c r="U25" i="33"/>
  <c r="W11" i="33"/>
  <c r="U17" i="33"/>
  <c r="U27" i="33"/>
  <c r="U34" i="33"/>
  <c r="U38" i="33"/>
  <c r="W37" i="33"/>
  <c r="W43" i="33"/>
  <c r="AC41" i="33"/>
  <c r="AA45" i="33"/>
  <c r="U46" i="33"/>
  <c r="S23" i="33"/>
  <c r="S17" i="33"/>
  <c r="W17" i="33"/>
  <c r="U15" i="33"/>
  <c r="AB9" i="33"/>
  <c r="U9" i="33"/>
  <c r="S10" i="33"/>
  <c r="AC12" i="33"/>
  <c r="W39" i="33"/>
  <c r="W9" i="33"/>
  <c r="W13" i="33"/>
  <c r="AC46" i="33"/>
  <c r="AC19" i="33"/>
  <c r="W21" i="33"/>
  <c r="AC21" i="33"/>
  <c r="AB42" i="33"/>
  <c r="U13" i="33"/>
  <c r="U39" i="33"/>
  <c r="S42" i="33"/>
  <c r="W42" i="21"/>
  <c r="AA39" i="21"/>
  <c r="W39" i="21"/>
  <c r="AA34" i="21"/>
  <c r="AA15" i="21"/>
  <c r="AC26" i="21"/>
  <c r="AC32" i="21"/>
  <c r="AB39" i="21"/>
  <c r="W40" i="21"/>
  <c r="W34" i="21"/>
  <c r="AC28" i="21"/>
  <c r="AB23" i="21"/>
  <c r="U19" i="21"/>
  <c r="U43" i="21"/>
  <c r="U26" i="21"/>
  <c r="U30" i="21"/>
  <c r="AB36" i="21"/>
  <c r="S17" i="21"/>
  <c r="AA36" i="21"/>
  <c r="AA43" i="21"/>
  <c r="S28" i="21"/>
  <c r="AB21" i="21"/>
  <c r="U21" i="21"/>
  <c r="AC19" i="21"/>
  <c r="U17" i="21"/>
  <c r="S13"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D3" i="21"/>
  <c r="M6" i="43"/>
  <c r="M5" i="43"/>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K103" i="43"/>
  <c r="B117" i="43"/>
  <c r="C117" i="43" s="1"/>
  <c r="N106" i="43"/>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F103" i="43"/>
  <c r="J107" i="43"/>
  <c r="J104" i="43"/>
  <c r="N109" i="43"/>
  <c r="N105" i="43"/>
  <c r="E102" i="43"/>
  <c r="E106" i="43"/>
  <c r="I103" i="43"/>
  <c r="M107" i="43"/>
  <c r="M104" i="43"/>
  <c r="D116" i="43"/>
  <c r="E116" i="43" s="1"/>
  <c r="F116" i="43" s="1"/>
  <c r="G116" i="43" s="1"/>
  <c r="H116"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45" i="34"/>
  <c r="AB45" i="34"/>
  <c r="AB35" i="34"/>
  <c r="W29" i="34"/>
  <c r="W43"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U35" i="40"/>
  <c r="AB35" i="40"/>
  <c r="U37" i="40"/>
  <c r="AB37" i="40"/>
  <c r="W37" i="40"/>
  <c r="AC37" i="40"/>
  <c r="AA28" i="40"/>
  <c r="S28" i="40"/>
  <c r="AC28" i="40"/>
  <c r="U28" i="40"/>
  <c r="AB21" i="40"/>
  <c r="U21" i="40"/>
  <c r="S21" i="40"/>
  <c r="AB17" i="40"/>
  <c r="W17" i="40"/>
  <c r="AC17" i="40"/>
  <c r="AC15" i="40"/>
  <c r="W15" i="40"/>
  <c r="AB33" i="37"/>
  <c r="U33" i="37"/>
  <c r="U35" i="37"/>
  <c r="S33" i="37"/>
  <c r="AA35" i="37"/>
  <c r="S35" i="37"/>
  <c r="W33" i="37"/>
  <c r="S19" i="37"/>
  <c r="AC15" i="37"/>
  <c r="AC21" i="34"/>
  <c r="W21" i="34"/>
  <c r="M86" i="43"/>
  <c r="N86" i="43" s="1"/>
  <c r="F34" i="11"/>
  <c r="E19" i="1"/>
  <c r="D20" i="1"/>
  <c r="D18" i="1"/>
  <c r="F50" i="11"/>
  <c r="F19" i="1"/>
  <c r="F18" i="1"/>
  <c r="C11" i="12" s="1"/>
  <c r="C15" i="12" s="1"/>
  <c r="D19" i="1"/>
  <c r="K87" i="43"/>
  <c r="J87" i="43" s="1"/>
  <c r="D87" i="43"/>
  <c r="C3" i="4"/>
  <c r="B4" i="55" s="1"/>
  <c r="B53" i="60" s="1"/>
  <c r="L106" i="9"/>
  <c r="A18" i="55" s="1"/>
  <c r="B48" i="60" s="1"/>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c r="I115" i="57" s="1"/>
  <c r="D132" i="57" s="1"/>
  <c r="D134" i="57"/>
  <c r="D130" i="9"/>
  <c r="D13" i="52"/>
  <c r="N46" i="9"/>
  <c r="H60" i="43"/>
  <c r="H9" i="44"/>
  <c r="H7" i="44"/>
  <c r="H10" i="44"/>
  <c r="N12" i="43"/>
  <c r="N4" i="43"/>
  <c r="M7" i="43"/>
  <c r="N1" i="43"/>
  <c r="M10" i="43"/>
  <c r="M2" i="43"/>
  <c r="H15" i="44"/>
  <c r="H64" i="43"/>
  <c r="H5" i="44"/>
  <c r="N10" i="43"/>
  <c r="N2" i="43"/>
  <c r="N11" i="43"/>
  <c r="N9" i="43"/>
  <c r="M4" i="43"/>
  <c r="C6" i="43" s="1"/>
  <c r="N5" i="43"/>
  <c r="G37" i="47" s="1"/>
  <c r="N3" i="43"/>
  <c r="M9" i="43"/>
  <c r="E17" i="43"/>
  <c r="N17" i="43"/>
  <c r="L17" i="43"/>
  <c r="O17" i="43"/>
  <c r="M17" i="43"/>
  <c r="J1" i="61"/>
  <c r="C18" i="59"/>
  <c r="D18" i="59" s="1"/>
  <c r="D19" i="59"/>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I116" i="57"/>
  <c r="D133" i="57" s="1"/>
  <c r="I14" i="62" s="1"/>
  <c r="B8" i="62" s="1"/>
  <c r="D120" i="57"/>
  <c r="I114" i="9"/>
  <c r="D129" i="9" s="1"/>
  <c r="I112" i="9"/>
  <c r="D116" i="9"/>
  <c r="D114" i="9"/>
  <c r="D115" i="9"/>
  <c r="I113" i="9" s="1"/>
  <c r="H23" i="31"/>
  <c r="E2" i="34"/>
  <c r="F7" i="61"/>
  <c r="D4" i="61"/>
  <c r="D6" i="61"/>
  <c r="F5" i="61"/>
  <c r="E2" i="36"/>
  <c r="E2" i="11"/>
  <c r="F3" i="61"/>
  <c r="D3" i="61"/>
  <c r="D5" i="61"/>
  <c r="E2" i="37"/>
  <c r="F4" i="61"/>
  <c r="E2" i="21"/>
  <c r="F6" i="61"/>
  <c r="E2" i="35"/>
  <c r="E2" i="33"/>
  <c r="D7" i="61"/>
  <c r="C7" i="43" l="1"/>
  <c r="C17" i="59"/>
  <c r="E81" i="43"/>
  <c r="B79" i="43" s="1"/>
  <c r="AA15" i="40"/>
  <c r="U15" i="40"/>
  <c r="U27" i="21"/>
  <c r="AB41" i="33"/>
  <c r="AC27" i="33"/>
  <c r="AC12" i="37"/>
  <c r="W17" i="34"/>
  <c r="AB31" i="21"/>
  <c r="AB38" i="40"/>
  <c r="U38" i="40"/>
  <c r="AA9" i="33"/>
  <c r="S9" i="33"/>
  <c r="AA40" i="21"/>
  <c r="S40" i="21"/>
  <c r="AC35" i="39"/>
  <c r="W35" i="39"/>
  <c r="S27" i="33"/>
  <c r="AA27" i="33"/>
  <c r="AC29" i="21"/>
  <c r="W29" i="21"/>
  <c r="W39" i="34"/>
  <c r="AC39" i="34"/>
  <c r="AC14" i="36"/>
  <c r="W14" i="36"/>
  <c r="S9" i="34"/>
  <c r="AA9" i="34"/>
  <c r="N107" i="43"/>
  <c r="N102" i="43"/>
  <c r="U21" i="39"/>
  <c r="AB21" i="39"/>
  <c r="AB41" i="39"/>
  <c r="U41" i="39"/>
  <c r="U25" i="39"/>
  <c r="AB25" i="39"/>
  <c r="AB9" i="37"/>
  <c r="U9" i="37"/>
  <c r="W37" i="21"/>
  <c r="AC37" i="21"/>
  <c r="AA47" i="34"/>
  <c r="S47" i="34"/>
  <c r="AC44" i="33"/>
  <c r="W44" i="33"/>
  <c r="AB10" i="36"/>
  <c r="U10" i="36"/>
  <c r="W27" i="40"/>
  <c r="AC27" i="40"/>
  <c r="U10" i="33"/>
  <c r="AB10" i="33"/>
  <c r="C24" i="43"/>
  <c r="W19" i="37"/>
  <c r="AC19" i="37"/>
  <c r="U32" i="21"/>
  <c r="AB32" i="21"/>
  <c r="AC27" i="37"/>
  <c r="W27" i="37"/>
  <c r="U29" i="21"/>
  <c r="AB29" i="21"/>
  <c r="AA21" i="39"/>
  <c r="S21" i="39"/>
  <c r="W12" i="36"/>
  <c r="AC12" i="36"/>
  <c r="AC9" i="34"/>
  <c r="W9" i="34"/>
  <c r="U13" i="21"/>
  <c r="AB13" i="21"/>
  <c r="W26" i="35"/>
  <c r="AC26" i="35"/>
  <c r="AB36" i="34"/>
  <c r="U36" i="34"/>
  <c r="S15" i="39"/>
  <c r="AA15" i="39"/>
  <c r="W25" i="39"/>
  <c r="AC25" i="39"/>
  <c r="F37" i="47"/>
  <c r="B35" i="47" s="1"/>
  <c r="W23" i="37"/>
  <c r="AC23" i="37"/>
  <c r="AC32" i="37"/>
  <c r="W32" i="37"/>
  <c r="AA10" i="35"/>
  <c r="S10" i="35"/>
  <c r="S25" i="36"/>
  <c r="AA25" i="36"/>
  <c r="AB35" i="35"/>
  <c r="U35" i="35"/>
  <c r="U46" i="21"/>
  <c r="AB46" i="21"/>
  <c r="U44" i="21"/>
  <c r="AB44" i="21"/>
  <c r="W30" i="21"/>
  <c r="AC30" i="21"/>
  <c r="W14" i="21"/>
  <c r="AC14" i="21"/>
  <c r="AB42" i="21"/>
  <c r="U42" i="21"/>
  <c r="S27" i="40"/>
  <c r="AA27" i="40"/>
  <c r="AA36" i="40"/>
  <c r="S36" i="40"/>
  <c r="AC23" i="33"/>
  <c r="W23" i="33"/>
  <c r="AC25" i="33"/>
  <c r="W25" i="33"/>
  <c r="AB15" i="34"/>
  <c r="U15" i="34"/>
  <c r="AB43" i="34"/>
  <c r="U43" i="34"/>
  <c r="AA20" i="35"/>
  <c r="S20" i="35"/>
  <c r="W20" i="35"/>
  <c r="AC20" i="35"/>
  <c r="AC32" i="35"/>
  <c r="W32" i="35"/>
  <c r="W31" i="39"/>
  <c r="AC31" i="39"/>
  <c r="AB19" i="39"/>
  <c r="U19" i="39"/>
  <c r="U39" i="39"/>
  <c r="AB39" i="39"/>
  <c r="S29" i="36"/>
  <c r="AA35" i="33"/>
  <c r="F31" i="21"/>
  <c r="W22" i="35"/>
  <c r="H45" i="21"/>
  <c r="B41" i="47"/>
  <c r="F15" i="47"/>
  <c r="B13" i="47" s="1"/>
  <c r="S19" i="21"/>
  <c r="H25" i="35"/>
  <c r="S8" i="33"/>
  <c r="S10" i="21"/>
  <c r="W10" i="33"/>
  <c r="C21" i="39"/>
  <c r="W41" i="21"/>
  <c r="H9" i="21"/>
  <c r="J9" i="21"/>
  <c r="B77" i="43"/>
  <c r="C25" i="39"/>
  <c r="H33" i="36"/>
  <c r="F33" i="36"/>
  <c r="H25" i="37"/>
  <c r="J25" i="37"/>
  <c r="AA8" i="40"/>
  <c r="S8" i="40"/>
  <c r="AB9" i="40"/>
  <c r="U9" i="40"/>
  <c r="AB34" i="40"/>
  <c r="U34" i="40"/>
  <c r="AC8" i="21"/>
  <c r="W8" i="21"/>
  <c r="C27" i="39"/>
  <c r="B74" i="43"/>
  <c r="U12" i="33"/>
  <c r="AB12" i="33"/>
  <c r="H23" i="35"/>
  <c r="J23" i="35"/>
  <c r="U8" i="36"/>
  <c r="AB8" i="36"/>
  <c r="AC22" i="36"/>
  <c r="W22" i="36"/>
  <c r="AA23" i="36"/>
  <c r="S23" i="36"/>
  <c r="H9" i="36"/>
  <c r="F9" i="36"/>
  <c r="J23" i="36"/>
  <c r="H23" i="36"/>
  <c r="H44" i="39"/>
  <c r="F44" i="39"/>
  <c r="N61" i="59"/>
  <c r="N62" i="59"/>
  <c r="D4" i="47"/>
  <c r="F4" i="47" s="1"/>
  <c r="B2" i="47" s="1"/>
  <c r="C40" i="59"/>
  <c r="D39" i="59"/>
  <c r="B25" i="31"/>
  <c r="C34" i="34"/>
  <c r="N64" i="59"/>
  <c r="C28" i="31"/>
  <c r="V27" i="31"/>
  <c r="V25" i="31" s="1"/>
  <c r="S21" i="33"/>
  <c r="S21" i="34"/>
  <c r="U21" i="37"/>
  <c r="AB25" i="40"/>
  <c r="T52" i="59"/>
  <c r="C60" i="59"/>
  <c r="D47" i="59"/>
  <c r="C23" i="59"/>
  <c r="AA23" i="59"/>
  <c r="C67" i="59"/>
  <c r="Y23" i="59"/>
  <c r="Z23" i="59" s="1"/>
  <c r="X25" i="59"/>
  <c r="E26" i="59"/>
  <c r="E27" i="59" s="1"/>
  <c r="E28" i="59" s="1"/>
  <c r="U28" i="59" s="1"/>
  <c r="AB25" i="59"/>
  <c r="Y26" i="59"/>
  <c r="Z26" i="59" s="1"/>
  <c r="AB26" i="59"/>
  <c r="Y27" i="59"/>
  <c r="Z27" i="59" s="1"/>
  <c r="AB27" i="59"/>
  <c r="Y28" i="59"/>
  <c r="Z28" i="59" s="1"/>
  <c r="AB28" i="59"/>
  <c r="X29" i="59"/>
  <c r="E30" i="59"/>
  <c r="E31" i="59" s="1"/>
  <c r="E32" i="59" s="1"/>
  <c r="U32" i="59" s="1"/>
  <c r="AB29" i="59"/>
  <c r="Y30" i="59"/>
  <c r="Z30" i="59" s="1"/>
  <c r="AB30" i="59"/>
  <c r="Y31" i="59"/>
  <c r="Z31" i="59" s="1"/>
  <c r="AB31" i="59"/>
  <c r="Y32" i="59"/>
  <c r="Z32" i="59" s="1"/>
  <c r="AB32" i="59"/>
  <c r="E34" i="59"/>
  <c r="E35" i="59" s="1"/>
  <c r="E36" i="59" s="1"/>
  <c r="AB33" i="59"/>
  <c r="Y34" i="59"/>
  <c r="Z34" i="59" s="1"/>
  <c r="AB34" i="59"/>
  <c r="F47" i="59"/>
  <c r="F48" i="59" s="1"/>
  <c r="V48" i="59" s="1"/>
  <c r="E62" i="59"/>
  <c r="J52" i="15"/>
  <c r="M60" i="15" s="1"/>
  <c r="F90" i="34"/>
  <c r="G90" i="34" s="1"/>
  <c r="H90" i="34" s="1"/>
  <c r="I90" i="34" s="1"/>
  <c r="J90" i="34" s="1"/>
  <c r="K90" i="34" s="1"/>
  <c r="L90" i="34" s="1"/>
  <c r="M90" i="34" s="1"/>
  <c r="F27" i="34"/>
  <c r="S27" i="34" s="1"/>
  <c r="AB27" i="34"/>
  <c r="S37" i="34"/>
  <c r="AC37" i="34"/>
  <c r="AC11" i="34"/>
  <c r="S8" i="34"/>
  <c r="AB8" i="34"/>
  <c r="D105" i="43"/>
  <c r="AA11" i="37"/>
  <c r="U8" i="37"/>
  <c r="D118" i="43"/>
  <c r="E118" i="43" s="1"/>
  <c r="F118" i="43" s="1"/>
  <c r="B115" i="43"/>
  <c r="C115" i="43" s="1"/>
  <c r="D117" i="43"/>
  <c r="E117" i="43" s="1"/>
  <c r="F117" i="43" s="1"/>
  <c r="G117" i="43" s="1"/>
  <c r="H117" i="43" s="1"/>
  <c r="D115" i="43"/>
  <c r="E115" i="43" s="1"/>
  <c r="F115" i="43" s="1"/>
  <c r="G104" i="43"/>
  <c r="D102" i="43"/>
  <c r="H104" i="43"/>
  <c r="H102" i="43"/>
  <c r="K106" i="43"/>
  <c r="G103" i="43"/>
  <c r="H66" i="43"/>
  <c r="F81" i="43"/>
  <c r="H84" i="43" s="1"/>
  <c r="C29" i="11"/>
  <c r="D27" i="11" s="1"/>
  <c r="F70" i="43"/>
  <c r="H70" i="43" s="1"/>
  <c r="H61" i="43"/>
  <c r="H87" i="43"/>
  <c r="H67" i="43"/>
  <c r="H59" i="43"/>
  <c r="A8" i="52"/>
  <c r="B65" i="60" s="1"/>
  <c r="D42" i="50"/>
  <c r="D43" i="50" s="1"/>
  <c r="B15" i="59"/>
  <c r="B14" i="59" s="1"/>
  <c r="B13" i="59" s="1"/>
  <c r="B12" i="59" s="1"/>
  <c r="S16" i="59"/>
  <c r="U30" i="35"/>
  <c r="AC21" i="21"/>
  <c r="W30" i="33"/>
  <c r="W28" i="37"/>
  <c r="AB14" i="33"/>
  <c r="W13" i="35"/>
  <c r="F12" i="21"/>
  <c r="J12" i="21"/>
  <c r="H12" i="21"/>
  <c r="D39" i="50"/>
  <c r="D40" i="50" s="1"/>
  <c r="AB19" i="37"/>
  <c r="AA17" i="40"/>
  <c r="AC21" i="40"/>
  <c r="S17" i="34"/>
  <c r="S40" i="40"/>
  <c r="AB25" i="34"/>
  <c r="AB43" i="33"/>
  <c r="S24" i="35"/>
  <c r="AB27" i="37"/>
  <c r="AB34" i="21"/>
  <c r="AA12" i="37"/>
  <c r="W40" i="40"/>
  <c r="W17" i="21"/>
  <c r="AC9" i="37"/>
  <c r="AA23" i="37"/>
  <c r="U23" i="37"/>
  <c r="F9" i="35"/>
  <c r="H9" i="35"/>
  <c r="F12" i="35"/>
  <c r="H12" i="35"/>
  <c r="J36" i="35"/>
  <c r="U36" i="59"/>
  <c r="D54" i="59"/>
  <c r="C55" i="59"/>
  <c r="O62" i="59"/>
  <c r="O61" i="59"/>
  <c r="D62" i="59"/>
  <c r="D48" i="59"/>
  <c r="T48" i="59"/>
  <c r="U27" i="31"/>
  <c r="U25" i="31" s="1"/>
  <c r="C36" i="57" s="1"/>
  <c r="D125" i="57" s="1"/>
  <c r="D126" i="57" s="1"/>
  <c r="Y27" i="31"/>
  <c r="Y25" i="31" s="1"/>
  <c r="C37" i="57" s="1"/>
  <c r="F125" i="57" s="1"/>
  <c r="B66" i="43"/>
  <c r="B86" i="43"/>
  <c r="F26" i="59"/>
  <c r="F27" i="59" s="1"/>
  <c r="F28" i="59" s="1"/>
  <c r="V28" i="59" s="1"/>
  <c r="F30" i="59"/>
  <c r="F31" i="59" s="1"/>
  <c r="F32" i="59" s="1"/>
  <c r="V32" i="59" s="1"/>
  <c r="Y33" i="59"/>
  <c r="Z33" i="59" s="1"/>
  <c r="C34" i="59"/>
  <c r="F34" i="59"/>
  <c r="F35" i="59" s="1"/>
  <c r="F36" i="59" s="1"/>
  <c r="V36" i="59" s="1"/>
  <c r="Y5" i="59"/>
  <c r="Z5" i="59" s="1"/>
  <c r="Y6" i="59"/>
  <c r="Z6" i="59" s="1"/>
  <c r="Y7" i="59"/>
  <c r="Z7" i="59" s="1"/>
  <c r="Y35" i="59"/>
  <c r="Z35" i="59" s="1"/>
  <c r="V72" i="59"/>
  <c r="F71" i="59"/>
  <c r="F70" i="59" s="1"/>
  <c r="E11" i="59"/>
  <c r="E10" i="59" s="1"/>
  <c r="E9" i="59" s="1"/>
  <c r="E8" i="59" s="1"/>
  <c r="E7" i="59" s="1"/>
  <c r="E6" i="59" s="1"/>
  <c r="E5" i="59" s="1"/>
  <c r="U12" i="59"/>
  <c r="AB18" i="59"/>
  <c r="C29" i="39"/>
  <c r="B55" i="43"/>
  <c r="U24" i="59"/>
  <c r="D63" i="59"/>
  <c r="D24" i="59"/>
  <c r="AA21" i="59"/>
  <c r="AA24" i="59"/>
  <c r="AB24" i="59"/>
  <c r="AB22" i="59"/>
  <c r="AB3" i="59"/>
  <c r="S24" i="59"/>
  <c r="X21" i="59"/>
  <c r="X24" i="59"/>
  <c r="B26" i="59"/>
  <c r="B27" i="59" s="1"/>
  <c r="B28" i="59" s="1"/>
  <c r="S28" i="59" s="1"/>
  <c r="C26" i="59"/>
  <c r="X26" i="59"/>
  <c r="X27" i="59"/>
  <c r="X28" i="59"/>
  <c r="B30" i="59"/>
  <c r="B31" i="59" s="1"/>
  <c r="B32" i="59" s="1"/>
  <c r="S32" i="59" s="1"/>
  <c r="C30" i="59"/>
  <c r="X33" i="59"/>
  <c r="B34" i="59"/>
  <c r="B35" i="59" s="1"/>
  <c r="B36" i="59" s="1"/>
  <c r="S36" i="59" s="1"/>
  <c r="AA6" i="59"/>
  <c r="AA35" i="59"/>
  <c r="F51" i="59"/>
  <c r="F52" i="59" s="1"/>
  <c r="V52" i="59" s="1"/>
  <c r="F59" i="59"/>
  <c r="F60" i="59" s="1"/>
  <c r="V60" i="59" s="1"/>
  <c r="S72" i="59"/>
  <c r="B71" i="59"/>
  <c r="B70" i="59" s="1"/>
  <c r="AA17" i="59"/>
  <c r="AA34" i="59"/>
  <c r="X6" i="59"/>
  <c r="X5" i="59"/>
  <c r="AB5" i="59"/>
  <c r="AB6" i="59"/>
  <c r="P64" i="59"/>
  <c r="AA20" i="59"/>
  <c r="T20" i="59"/>
  <c r="X18" i="59"/>
  <c r="X20" i="59"/>
  <c r="AA15" i="59"/>
  <c r="AB17" i="59"/>
  <c r="Y17" i="59"/>
  <c r="Z17" i="59" s="1"/>
  <c r="AA13" i="59"/>
  <c r="AA12" i="59"/>
  <c r="F19" i="59"/>
  <c r="F18" i="59" s="1"/>
  <c r="F17" i="59" s="1"/>
  <c r="F16" i="59" s="1"/>
  <c r="V20" i="59"/>
  <c r="Y20" i="59"/>
  <c r="Z20" i="59" s="1"/>
  <c r="Y19" i="59"/>
  <c r="Z19" i="59" s="1"/>
  <c r="X17" i="59"/>
  <c r="Y15" i="59"/>
  <c r="Z15" i="59" s="1"/>
  <c r="AB13" i="59"/>
  <c r="X13" i="59"/>
  <c r="AB12" i="59"/>
  <c r="Y14" i="59"/>
  <c r="Z14" i="59" s="1"/>
  <c r="Y9" i="59"/>
  <c r="Z9" i="59" s="1"/>
  <c r="AB10" i="59"/>
  <c r="X11" i="59"/>
  <c r="AA11" i="59"/>
  <c r="AB7" i="59"/>
  <c r="AB8" i="59"/>
  <c r="X7" i="59"/>
  <c r="X8" i="59"/>
  <c r="X10" i="59"/>
  <c r="AA9" i="59"/>
  <c r="AA5" i="59"/>
  <c r="B15" i="50"/>
  <c r="B56" i="60" s="1"/>
  <c r="Y13" i="59"/>
  <c r="Z13" i="59" s="1"/>
  <c r="Y11" i="59"/>
  <c r="Z11" i="59" s="1"/>
  <c r="AB11" i="59"/>
  <c r="AB9" i="59"/>
  <c r="Y8" i="59"/>
  <c r="Z8" i="59" s="1"/>
  <c r="Y10" i="59"/>
  <c r="Z10" i="59" s="1"/>
  <c r="X9" i="59"/>
  <c r="AA7" i="59"/>
  <c r="AA8" i="59"/>
  <c r="AA10" i="59"/>
  <c r="U8" i="59"/>
  <c r="D18" i="50"/>
  <c r="B31" i="60" s="1"/>
  <c r="A10" i="52"/>
  <c r="B66" i="60" s="1"/>
  <c r="C14" i="15"/>
  <c r="D12" i="52"/>
  <c r="H75" i="43"/>
  <c r="G26" i="47"/>
  <c r="H6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F102" i="43"/>
  <c r="F107" i="43"/>
  <c r="J103" i="43"/>
  <c r="J109" i="43"/>
  <c r="M103" i="43"/>
  <c r="M105" i="43"/>
  <c r="E22" i="43"/>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H7" i="37" l="1"/>
  <c r="AB7" i="37" s="1"/>
  <c r="T42" i="37" s="1"/>
  <c r="G42" i="37" s="1"/>
  <c r="G46" i="37" s="1"/>
  <c r="H46" i="37" s="1"/>
  <c r="M19" i="43"/>
  <c r="C66" i="59"/>
  <c r="D66" i="59" s="1"/>
  <c r="D67" i="59"/>
  <c r="C22" i="59"/>
  <c r="D22" i="59" s="1"/>
  <c r="D23" i="59"/>
  <c r="D60" i="59"/>
  <c r="T60" i="59"/>
  <c r="B125" i="57"/>
  <c r="G125" i="57" s="1"/>
  <c r="H103" i="57"/>
  <c r="D40" i="59"/>
  <c r="T40" i="59"/>
  <c r="AA44" i="39"/>
  <c r="S44" i="39"/>
  <c r="U23" i="36"/>
  <c r="AB23" i="36"/>
  <c r="S9" i="36"/>
  <c r="AA9" i="36"/>
  <c r="AC23" i="35"/>
  <c r="W23" i="35"/>
  <c r="AC25" i="37"/>
  <c r="W25" i="37"/>
  <c r="S33" i="36"/>
  <c r="AA33" i="36"/>
  <c r="W9" i="21"/>
  <c r="AC9" i="21"/>
  <c r="D17" i="59"/>
  <c r="C16" i="59"/>
  <c r="P61" i="59"/>
  <c r="P62" i="59"/>
  <c r="H34" i="34"/>
  <c r="F34" i="34"/>
  <c r="J34" i="34"/>
  <c r="AB44" i="39"/>
  <c r="U44" i="39"/>
  <c r="AC23" i="36"/>
  <c r="W23" i="36"/>
  <c r="AB9" i="36"/>
  <c r="U9" i="36"/>
  <c r="U23" i="35"/>
  <c r="AB23" i="35"/>
  <c r="U25" i="37"/>
  <c r="AB25" i="37"/>
  <c r="AB33" i="36"/>
  <c r="U33" i="36"/>
  <c r="AB9" i="21"/>
  <c r="U9" i="21"/>
  <c r="AB25" i="35"/>
  <c r="U25" i="35"/>
  <c r="AB45" i="21"/>
  <c r="U45" i="21"/>
  <c r="AA31" i="21"/>
  <c r="S31" i="21"/>
  <c r="AA27" i="34"/>
  <c r="E125" i="57"/>
  <c r="D19" i="50"/>
  <c r="B32" i="60" s="1"/>
  <c r="H74" i="43"/>
  <c r="H83" i="43"/>
  <c r="H81" i="43"/>
  <c r="H77" i="43"/>
  <c r="H72" i="43"/>
  <c r="H82" i="43"/>
  <c r="H88" i="43"/>
  <c r="H76" i="43"/>
  <c r="C18" i="12"/>
  <c r="C21" i="12" s="1"/>
  <c r="C22" i="12" s="1"/>
  <c r="C30" i="12" s="1"/>
  <c r="C28" i="12" s="1"/>
  <c r="D22" i="43"/>
  <c r="H85" i="43"/>
  <c r="H86" i="43"/>
  <c r="H73" i="43"/>
  <c r="H78" i="43"/>
  <c r="H7" i="35"/>
  <c r="F7" i="35"/>
  <c r="AA7" i="35" s="1"/>
  <c r="R38" i="35" s="1"/>
  <c r="F15" i="59"/>
  <c r="F14" i="59" s="1"/>
  <c r="F13" i="59" s="1"/>
  <c r="F12" i="59" s="1"/>
  <c r="V16" i="59"/>
  <c r="C27" i="59"/>
  <c r="D26" i="59"/>
  <c r="D55" i="59"/>
  <c r="C56" i="59"/>
  <c r="AC36" i="35"/>
  <c r="W36" i="35"/>
  <c r="S12" i="35"/>
  <c r="AA12" i="35"/>
  <c r="AA9" i="35"/>
  <c r="S9" i="35"/>
  <c r="AC12" i="21"/>
  <c r="W12" i="21"/>
  <c r="C31" i="59"/>
  <c r="D30" i="59"/>
  <c r="C35" i="59"/>
  <c r="D34" i="59"/>
  <c r="U12" i="35"/>
  <c r="AB12" i="35"/>
  <c r="AB9" i="35"/>
  <c r="U9" i="35"/>
  <c r="AB12" i="21"/>
  <c r="U12" i="21"/>
  <c r="AA12" i="21"/>
  <c r="S12" i="21"/>
  <c r="B11" i="59"/>
  <c r="B10" i="59" s="1"/>
  <c r="B9" i="59" s="1"/>
  <c r="B8" i="59" s="1"/>
  <c r="S12" i="59"/>
  <c r="C18" i="15"/>
  <c r="C16" i="15"/>
  <c r="J7" i="35"/>
  <c r="W7" i="35" s="1"/>
  <c r="C30" i="11"/>
  <c r="C48" i="11"/>
  <c r="C32" i="15"/>
  <c r="E27" i="1"/>
  <c r="D5" i="43"/>
  <c r="Q59" i="15"/>
  <c r="C33" i="11"/>
  <c r="C39" i="11" s="1"/>
  <c r="C46" i="11" s="1"/>
  <c r="C45" i="11" s="1"/>
  <c r="D9" i="48"/>
  <c r="E3" i="4"/>
  <c r="D7" i="62"/>
  <c r="C7" i="62"/>
  <c r="C50" i="15"/>
  <c r="F60" i="15"/>
  <c r="AC7" i="33"/>
  <c r="V48" i="33" s="1"/>
  <c r="I48" i="33" s="1"/>
  <c r="I52" i="33" s="1"/>
  <c r="J52" i="33" s="1"/>
  <c r="D113" i="43"/>
  <c r="J22" i="43" s="1"/>
  <c r="D65" i="40"/>
  <c r="E63" i="40"/>
  <c r="AA7" i="37"/>
  <c r="R42"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AA34" i="34" l="1"/>
  <c r="S34" i="34"/>
  <c r="C15" i="59"/>
  <c r="D16" i="59"/>
  <c r="T16" i="59"/>
  <c r="C21" i="43"/>
  <c r="U7" i="37"/>
  <c r="AC34" i="34"/>
  <c r="W34" i="34"/>
  <c r="AB34" i="34"/>
  <c r="U34" i="34"/>
  <c r="R43" i="37"/>
  <c r="C42" i="37" s="1"/>
  <c r="E42" i="37"/>
  <c r="E47" i="37" s="1"/>
  <c r="F47" i="37" s="1"/>
  <c r="C19" i="15"/>
  <c r="C20" i="15" s="1"/>
  <c r="C26" i="15" s="1"/>
  <c r="D56" i="59"/>
  <c r="T56" i="59"/>
  <c r="J7" i="36"/>
  <c r="S8" i="59"/>
  <c r="B7" i="59"/>
  <c r="B6" i="59" s="1"/>
  <c r="B5" i="59" s="1"/>
  <c r="D35" i="59"/>
  <c r="C36" i="59"/>
  <c r="D31" i="59"/>
  <c r="C32" i="59"/>
  <c r="D27" i="59"/>
  <c r="C28" i="59"/>
  <c r="F11" i="59"/>
  <c r="F10" i="59" s="1"/>
  <c r="F9" i="59" s="1"/>
  <c r="F8" i="59" s="1"/>
  <c r="V12" i="59"/>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W7" i="36"/>
  <c r="AC7" i="36"/>
  <c r="V36" i="36" s="1"/>
  <c r="I36" i="36" s="1"/>
  <c r="G42" i="35"/>
  <c r="H42" i="35" s="1"/>
  <c r="G43" i="35"/>
  <c r="H43" i="35" s="1"/>
  <c r="R49" i="33"/>
  <c r="E48" i="33"/>
  <c r="F7" i="36"/>
  <c r="I42" i="35"/>
  <c r="J42" i="35" s="1"/>
  <c r="I70" i="39"/>
  <c r="J68" i="39"/>
  <c r="C43" i="37"/>
  <c r="B2" i="37" s="1"/>
  <c r="B3" i="37" s="1"/>
  <c r="AB7" i="36"/>
  <c r="T36" i="36" s="1"/>
  <c r="G36" i="36" s="1"/>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C14" i="59" l="1"/>
  <c r="D15" i="59"/>
  <c r="I47" i="37"/>
  <c r="J47" i="37" s="1"/>
  <c r="D28" i="59"/>
  <c r="T28" i="59"/>
  <c r="D32" i="59"/>
  <c r="T32" i="59"/>
  <c r="D36" i="59"/>
  <c r="T36" i="59"/>
  <c r="V8" i="59"/>
  <c r="F7" i="59"/>
  <c r="F6" i="59" s="1"/>
  <c r="F5" i="59"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13" i="59" l="1"/>
  <c r="D14" i="59"/>
  <c r="E33" i="43"/>
  <c r="G36" i="43"/>
  <c r="I36" i="43" s="1"/>
  <c r="E35" i="43"/>
  <c r="E34" i="43"/>
  <c r="G37" i="43"/>
  <c r="I37" i="43" s="1"/>
  <c r="G65" i="40"/>
  <c r="H63" i="40"/>
  <c r="J29" i="15"/>
  <c r="B3" i="35"/>
  <c r="B2" i="35"/>
  <c r="H59" i="34"/>
  <c r="R37" i="36"/>
  <c r="E36" i="36"/>
  <c r="K70" i="39"/>
  <c r="L68" i="39"/>
  <c r="I58" i="21"/>
  <c r="C41" i="11"/>
  <c r="C49" i="11" s="1"/>
  <c r="C51" i="11" s="1"/>
  <c r="C29" i="15"/>
  <c r="J14" i="15" s="1"/>
  <c r="C32" i="12"/>
  <c r="D13" i="59" l="1"/>
  <c r="C12" i="59"/>
  <c r="C27" i="43"/>
  <c r="C26" i="43"/>
  <c r="B2" i="43" s="1"/>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D12" i="59" l="1"/>
  <c r="C11" i="59"/>
  <c r="T12" i="59"/>
  <c r="B3" i="43"/>
  <c r="C6" i="11"/>
  <c r="F7" i="21"/>
  <c r="H7" i="21"/>
  <c r="AB7" i="21" s="1"/>
  <c r="T48" i="21" s="1"/>
  <c r="G48" i="21" s="1"/>
  <c r="J7" i="21"/>
  <c r="AC7" i="21" s="1"/>
  <c r="V48" i="21" s="1"/>
  <c r="I48" i="21" s="1"/>
  <c r="C65" i="15"/>
  <c r="J63" i="40"/>
  <c r="I65" i="40"/>
  <c r="U7" i="21"/>
  <c r="J59" i="34"/>
  <c r="M70" i="39"/>
  <c r="N68" i="39"/>
  <c r="S7" i="21"/>
  <c r="AA7" i="21"/>
  <c r="R48" i="21" s="1"/>
  <c r="Q46" i="15"/>
  <c r="C60" i="15"/>
  <c r="C57" i="15"/>
  <c r="C66" i="15" s="1"/>
  <c r="C37" i="15"/>
  <c r="C30" i="15" s="1"/>
  <c r="C39" i="15" s="1"/>
  <c r="Q68" i="15"/>
  <c r="J16" i="15"/>
  <c r="J25" i="15" s="1"/>
  <c r="C10" i="59" l="1"/>
  <c r="D11" i="59"/>
  <c r="C7" i="11"/>
  <c r="C5" i="11" s="1"/>
  <c r="W7" i="2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9" i="59" l="1"/>
  <c r="D10" i="59"/>
  <c r="C20" i="11"/>
  <c r="C23" i="11"/>
  <c r="C22" i="11" s="1"/>
  <c r="L63" i="40"/>
  <c r="K65" i="40"/>
  <c r="E52" i="21"/>
  <c r="F52" i="21" s="1"/>
  <c r="E53" i="21"/>
  <c r="F53" i="21" s="1"/>
  <c r="C48" i="21"/>
  <c r="C49" i="21"/>
  <c r="B2" i="21" s="1"/>
  <c r="B3" i="21" s="1"/>
  <c r="J7" i="39"/>
  <c r="H7" i="39"/>
  <c r="F7" i="39"/>
  <c r="L59" i="34"/>
  <c r="C47" i="15"/>
  <c r="J41" i="15"/>
  <c r="J42" i="15" s="1"/>
  <c r="Q54" i="15"/>
  <c r="C43" i="15"/>
  <c r="Q65" i="15"/>
  <c r="Q45" i="15"/>
  <c r="Q51" i="15" s="1"/>
  <c r="Q63" i="15"/>
  <c r="C8" i="59" l="1"/>
  <c r="D9" i="59"/>
  <c r="C28" i="11"/>
  <c r="C27" i="11" s="1"/>
  <c r="C31" i="11" s="1"/>
  <c r="C52" i="11" s="1"/>
  <c r="C25" i="11"/>
  <c r="D35" i="9"/>
  <c r="D34" i="9" s="1"/>
  <c r="L65" i="40"/>
  <c r="M63" i="40"/>
  <c r="AA7" i="39"/>
  <c r="R47" i="39" s="1"/>
  <c r="R48" i="39" s="1"/>
  <c r="S7" i="39"/>
  <c r="M59" i="34"/>
  <c r="N59" i="34" s="1"/>
  <c r="O59" i="34" s="1"/>
  <c r="H7" i="34" s="1"/>
  <c r="AB7" i="39"/>
  <c r="U7" i="39"/>
  <c r="AC7" i="39"/>
  <c r="W7" i="39"/>
  <c r="L58" i="15"/>
  <c r="L61" i="15" s="1"/>
  <c r="C7" i="59" l="1"/>
  <c r="T8" i="59"/>
  <c r="D8" i="59"/>
  <c r="C56" i="11"/>
  <c r="C57" i="11" s="1"/>
  <c r="B3" i="11"/>
  <c r="B2" i="1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6" i="59" l="1"/>
  <c r="D7"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57"/>
  <c r="D20" i="9"/>
  <c r="D19" i="9"/>
  <c r="D6" i="59" l="1"/>
  <c r="C5" i="59"/>
  <c r="D5" i="59" s="1"/>
  <c r="D103" i="57"/>
  <c r="D104" i="57"/>
  <c r="R50" i="34"/>
  <c r="C49" i="34" s="1"/>
  <c r="E49" i="34"/>
  <c r="E53" i="34" s="1"/>
  <c r="F53" i="34" s="1"/>
  <c r="D101" i="9"/>
  <c r="D102" i="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M20" i="43" l="1"/>
  <c r="C50" i="34"/>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C19" i="57"/>
  <c r="B3" i="34" l="1"/>
  <c r="D22" i="57"/>
  <c r="C103" i="57"/>
  <c r="G19" i="57"/>
  <c r="C105" i="57" s="1"/>
  <c r="D22" i="9"/>
  <c r="C101" i="9"/>
  <c r="G19" i="9"/>
  <c r="L19" i="9" s="1"/>
  <c r="C106" i="57"/>
  <c r="C32" i="9"/>
  <c r="C35" i="9" s="1"/>
  <c r="C34" i="9" s="1"/>
  <c r="G47" i="40"/>
  <c r="H47" i="40" s="1"/>
  <c r="E42" i="40"/>
  <c r="C20" i="9"/>
  <c r="C20" i="57"/>
  <c r="G20" i="57" l="1"/>
  <c r="R27" i="31" s="1"/>
  <c r="C33" i="57" s="1"/>
  <c r="C104" i="57"/>
  <c r="C102" i="9"/>
  <c r="G20" i="9"/>
  <c r="I47" i="40"/>
  <c r="J47" i="40" s="1"/>
  <c r="E47" i="40"/>
  <c r="F47" i="40" s="1"/>
  <c r="E46" i="40"/>
  <c r="F46" i="40" s="1"/>
  <c r="C43" i="40"/>
  <c r="C42" i="40"/>
  <c r="S27" i="31" l="1"/>
  <c r="T27" i="31"/>
  <c r="R29" i="31"/>
  <c r="S29" i="31" s="1"/>
  <c r="R28" i="31"/>
  <c r="T28" i="31" s="1"/>
  <c r="T29" i="31"/>
  <c r="S28"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5" i="31" l="1"/>
  <c r="B23" i="31" s="1"/>
  <c r="S25" i="31"/>
  <c r="F121" i="9"/>
  <c r="D121" i="9"/>
  <c r="H121" i="9"/>
  <c r="R25" i="31" l="1"/>
  <c r="B24" i="31"/>
  <c r="B3" i="31" s="1"/>
  <c r="C35" i="57" s="1"/>
  <c r="I125" i="57" s="1"/>
  <c r="B2" i="31"/>
  <c r="C34" i="57" s="1"/>
  <c r="H125" i="57" s="1"/>
  <c r="E121" i="9"/>
  <c r="E4" i="52" s="1"/>
  <c r="B38" i="60" s="1"/>
  <c r="D4" i="52"/>
  <c r="B37" i="60" s="1"/>
  <c r="H122" i="9"/>
  <c r="H4" i="52"/>
  <c r="G121" i="9"/>
  <c r="G4" i="52" s="1"/>
  <c r="B41" i="60" s="1"/>
  <c r="F4" i="52"/>
  <c r="B40" i="60" s="1"/>
  <c r="I102" i="9"/>
  <c r="I121" i="9"/>
  <c r="D122" i="9"/>
  <c r="D5" i="52" s="1"/>
  <c r="B39" i="60" s="1"/>
  <c r="F122" i="9"/>
  <c r="F5" i="52" s="1"/>
  <c r="B42" i="60" s="1"/>
  <c r="C103" i="9"/>
  <c r="I103" i="9"/>
  <c r="I110" i="9"/>
  <c r="D106" i="9"/>
  <c r="D112" i="9" s="1"/>
  <c r="H126" i="57" l="1"/>
  <c r="H5" i="52" s="1"/>
  <c r="D110" i="57"/>
  <c r="D14" i="62"/>
  <c r="I104" i="57"/>
  <c r="C107" i="57"/>
  <c r="D111" i="57"/>
  <c r="C108" i="57"/>
  <c r="I105" i="57"/>
  <c r="D30" i="50" s="1"/>
  <c r="D9" i="50"/>
  <c r="B21" i="60" s="1"/>
  <c r="D107" i="9"/>
  <c r="I4" i="52"/>
  <c r="N48" i="9"/>
  <c r="D28" i="50"/>
  <c r="D29" i="50" s="1"/>
  <c r="D7" i="50"/>
  <c r="C104" i="9"/>
  <c r="D45" i="9"/>
  <c r="D52" i="9" s="1"/>
  <c r="D117" i="9"/>
  <c r="D113" i="9"/>
  <c r="D125" i="9"/>
  <c r="N49" i="9"/>
  <c r="D47" i="57" l="1"/>
  <c r="N50" i="57"/>
  <c r="I112" i="57"/>
  <c r="D121" i="57"/>
  <c r="I117" i="57" s="1"/>
  <c r="D116" i="57"/>
  <c r="D117" i="57" s="1"/>
  <c r="I113" i="57" s="1"/>
  <c r="D130" i="57" s="1"/>
  <c r="D10" i="52" s="1"/>
  <c r="B5" i="62"/>
  <c r="E14" i="62"/>
  <c r="F14" i="62"/>
  <c r="I115" i="9"/>
  <c r="D23" i="50" s="1"/>
  <c r="B34" i="60" s="1"/>
  <c r="D44" i="50"/>
  <c r="I111" i="9"/>
  <c r="B19" i="60"/>
  <c r="D8" i="50"/>
  <c r="B22" i="60" s="1"/>
  <c r="C72" i="9"/>
  <c r="C93" i="9"/>
  <c r="C86" i="9" s="1"/>
  <c r="C64" i="9"/>
  <c r="C63" i="9" s="1"/>
  <c r="C67" i="9" s="1"/>
  <c r="C68" i="9" s="1"/>
  <c r="D54" i="9" s="1"/>
  <c r="C85" i="9"/>
  <c r="C78" i="9"/>
  <c r="C73" i="9" s="1"/>
  <c r="C79" i="9" s="1"/>
  <c r="D53" i="9"/>
  <c r="D48" i="9" s="1"/>
  <c r="N52" i="9" s="1"/>
  <c r="O57" i="9" s="1"/>
  <c r="O59" i="9" s="1"/>
  <c r="M64" i="9"/>
  <c r="N64" i="9" s="1"/>
  <c r="M68" i="9"/>
  <c r="N68" i="9" s="1"/>
  <c r="M65" i="9"/>
  <c r="N65" i="9" s="1"/>
  <c r="M67" i="9"/>
  <c r="N67" i="9" s="1"/>
  <c r="M66" i="9"/>
  <c r="N66" i="9" s="1"/>
  <c r="M63" i="9"/>
  <c r="N63" i="9" s="1"/>
  <c r="D38" i="50" l="1"/>
  <c r="B62" i="60" s="1"/>
  <c r="D5" i="62"/>
  <c r="C5" i="62"/>
  <c r="D129" i="57"/>
  <c r="D36" i="50"/>
  <c r="D37" i="50" s="1"/>
  <c r="N51" i="57"/>
  <c r="D15" i="50"/>
  <c r="C80" i="57"/>
  <c r="C75" i="57" s="1"/>
  <c r="C74" i="57"/>
  <c r="C81" i="57" s="1"/>
  <c r="C82" i="57" s="1"/>
  <c r="E82" i="57" s="1"/>
  <c r="E83" i="57" s="1"/>
  <c r="D57" i="57"/>
  <c r="N55" i="57" s="1"/>
  <c r="D54" i="57"/>
  <c r="D55" i="57"/>
  <c r="D50" i="57" s="1"/>
  <c r="N54" i="57" s="1"/>
  <c r="C66" i="57"/>
  <c r="C65" i="57" s="1"/>
  <c r="C69" i="57" s="1"/>
  <c r="C70" i="57" s="1"/>
  <c r="D56" i="57" s="1"/>
  <c r="D61" i="57"/>
  <c r="N57" i="57" s="1"/>
  <c r="C95" i="57"/>
  <c r="C88" i="57" s="1"/>
  <c r="C87" i="57"/>
  <c r="N69" i="9"/>
  <c r="O69" i="9" s="1"/>
  <c r="D126" i="9"/>
  <c r="D9" i="52" s="1"/>
  <c r="D17" i="50"/>
  <c r="C95" i="9"/>
  <c r="O58" i="9"/>
  <c r="Q57" i="9"/>
  <c r="O60" i="9"/>
  <c r="O61" i="9"/>
  <c r="C80" i="9"/>
  <c r="E80" i="9" s="1"/>
  <c r="E81" i="9" s="1"/>
  <c r="B29" i="60" l="1"/>
  <c r="D16" i="50"/>
  <c r="B30" i="60" s="1"/>
  <c r="C83" i="57"/>
  <c r="C97" i="57"/>
  <c r="M70" i="57"/>
  <c r="N70" i="57" s="1"/>
  <c r="M65" i="57"/>
  <c r="N65" i="57" s="1"/>
  <c r="M67" i="57"/>
  <c r="N67" i="57" s="1"/>
  <c r="M68" i="57"/>
  <c r="N68" i="57" s="1"/>
  <c r="M69" i="57"/>
  <c r="N69" i="57" s="1"/>
  <c r="M66" i="57"/>
  <c r="N66" i="57" s="1"/>
  <c r="G14" i="62"/>
  <c r="B6" i="62" s="1"/>
  <c r="D8" i="52"/>
  <c r="C81" i="9"/>
  <c r="C96" i="9"/>
  <c r="E96" i="9" s="1"/>
  <c r="E97" i="9" s="1"/>
  <c r="N71" i="57" l="1"/>
  <c r="O71" i="57" s="1"/>
  <c r="C98" i="57"/>
  <c r="E98" i="57" s="1"/>
  <c r="E99" i="57" s="1"/>
  <c r="C6" i="62"/>
  <c r="D6" i="62"/>
  <c r="C97" i="9"/>
  <c r="D58" i="9" s="1"/>
  <c r="C99" i="57" l="1"/>
  <c r="D60" i="57" s="1"/>
  <c r="D58" i="57" s="1"/>
  <c r="N56" i="57" s="1"/>
  <c r="O59" i="57" s="1"/>
  <c r="O61" i="57" s="1"/>
  <c r="Q59" i="57" l="1"/>
  <c r="O60" i="57"/>
  <c r="O62" i="57"/>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<sst xmlns="http://schemas.openxmlformats.org/spreadsheetml/2006/main" count="6910" uniqueCount="3022">
  <si>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</si>
  <si>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</si>
  <si>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</si>
  <si>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</si>
  <si>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</si>
  <si>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</si>
  <si>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</si>
  <si>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</si>
  <si>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</si>
  <si>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</si>
  <si>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</si>
  <si>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</si>
  <si>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</si>
  <si>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</si>
  <si>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</si>
  <si>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</si>
  <si>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</si>
  <si>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</si>
  <si>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</si>
  <si>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</si>
  <si>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</si>
  <si>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</si>
  <si>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</si>
  <si>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</si>
  <si>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</si>
  <si>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</si>
  <si>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</si>
  <si>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</si>
  <si>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</si>
  <si>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</si>
  <si>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</si>
  <si>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</si>
  <si>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</si>
  <si>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</si>
  <si>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</si>
  <si>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</si>
  <si>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</si>
  <si>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</si>
  <si>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</si>
  <si>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</si>
  <si>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</si>
  <si>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</si>
  <si>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</si>
  <si>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</si>
  <si>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</si>
  <si>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</si>
  <si>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</si>
  <si>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</si>
  <si>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</si>
  <si>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</si>
  <si>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</si>
  <si>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</si>
  <si>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</si>
  <si>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</si>
  <si>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</si>
  <si>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</si>
  <si>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</si>
  <si>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</si>
  <si>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</si>
  <si>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</si>
  <si>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</si>
  <si>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</si>
  <si>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</si>
  <si>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</si>
  <si>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</si>
  <si>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</si>
  <si>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</si>
  <si>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</si>
  <si>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</si>
  <si>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</si>
  <si>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</si>
  <si>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</si>
  <si>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</si>
  <si>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</si>
  <si>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</si>
  <si>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</si>
  <si>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</si>
  <si>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</si>
  <si>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</si>
  <si>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</si>
  <si>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</si>
  <si>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</si>
  <si>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</si>
  <si>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</si>
  <si>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</si>
  <si>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</si>
  <si>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</si>
  <si>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</si>
  <si>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</si>
  <si>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</si>
  <si>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</si>
  <si>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</si>
  <si>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</si>
  <si>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</si>
  <si>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</si>
  <si>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</si>
  <si>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</si>
  <si>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</si>
  <si>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</si>
  <si>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</si>
  <si>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</si>
  <si>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</si>
  <si>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</si>
  <si>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</si>
  <si>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</si>
  <si>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</si>
  <si>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</si>
  <si>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</si>
  <si>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</si>
  <si>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</si>
  <si>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</si>
  <si>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</si>
  <si>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</si>
  <si>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</si>
  <si>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</si>
  <si>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</si>
  <si>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</si>
  <si>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</si>
  <si>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</si>
  <si>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</si>
  <si>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</si>
  <si>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</si>
  <si>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</si>
  <si>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</si>
  <si>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</si>
  <si>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</si>
  <si>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</si>
  <si>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</si>
  <si>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</si>
  <si>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</si>
  <si>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</si>
  <si>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</si>
  <si>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</si>
  <si>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</si>
  <si>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</si>
  <si>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</si>
  <si>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</si>
  <si>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</si>
  <si>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</si>
  <si>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</si>
  <si>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</si>
  <si>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</si>
  <si>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</si>
  <si>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</si>
  <si>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</si>
  <si>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</si>
  <si>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</si>
  <si>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</si>
  <si>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</si>
  <si>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</si>
  <si>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</si>
  <si>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</si>
  <si>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</si>
  <si>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</si>
  <si>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</si>
  <si>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</si>
  <si>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</si>
  <si>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</si>
  <si>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</si>
  <si>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</si>
  <si>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</si>
  <si>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</si>
  <si>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</si>
  <si>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</si>
  <si>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</si>
  <si>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</si>
  <si>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</si>
  <si>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</si>
  <si>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</si>
  <si>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</si>
  <si>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</si>
  <si>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</si>
  <si>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</si>
  <si>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</si>
  <si>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</si>
  <si>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</si>
  <si>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</si>
  <si>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</si>
  <si>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</si>
  <si>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</si>
  <si>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</si>
  <si>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</si>
  <si>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</si>
  <si>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</si>
  <si>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</si>
  <si>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</si>
  <si>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</si>
  <si>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</si>
  <si>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</si>
  <si>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</si>
  <si>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</si>
  <si>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</si>
  <si>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</si>
  <si>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</si>
  <si>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</si>
  <si>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</si>
  <si>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</si>
  <si>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</si>
  <si>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</si>
  <si>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</si>
  <si>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</si>
  <si>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</si>
  <si>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</si>
  <si>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</si>
  <si>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</si>
  <si>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</si>
  <si>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</si>
  <si>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</si>
  <si>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</si>
  <si>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</si>
  <si>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</si>
  <si>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</si>
  <si>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</si>
  <si>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</si>
  <si>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</si>
  <si>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</si>
  <si>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</si>
  <si>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</si>
  <si>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</si>
  <si>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</si>
  <si>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</si>
  <si>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</si>
  <si>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</si>
  <si>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</si>
  <si>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</si>
  <si>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</si>
  <si>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</si>
  <si>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</si>
  <si>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</si>
  <si>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</si>
  <si>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</si>
  <si>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</si>
  <si>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</si>
  <si>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</si>
  <si>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</si>
  <si>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</si>
  <si>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</si>
  <si>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</si>
  <si>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</si>
  <si>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</si>
  <si>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</si>
  <si>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</si>
  <si>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</si>
  <si>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</si>
  <si>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</si>
  <si>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</si>
  <si>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</si>
  <si>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</si>
  <si>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</si>
  <si>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</si>
  <si>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</si>
  <si>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</si>
  <si>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</si>
  <si>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</si>
  <si>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</si>
  <si>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</si>
  <si>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</si>
  <si>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</si>
  <si>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</si>
  <si>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</si>
  <si>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</si>
  <si>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</si>
  <si>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</si>
  <si>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</si>
  <si>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</si>
  <si>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</si>
  <si>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</si>
  <si>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</si>
  <si>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</si>
  <si>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</si>
  <si>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</si>
  <si>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</si>
  <si>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</si>
  <si>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</si>
  <si>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</si>
  <si>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</si>
  <si>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</si>
  <si>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</si>
  <si>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</si>
  <si>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</si>
  <si>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</si>
  <si>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</si>
  <si>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</si>
  <si>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</si>
  <si>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</si>
  <si>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</si>
  <si>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</si>
  <si>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</si>
  <si>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</si>
  <si>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</si>
  <si>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</si>
  <si>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</si>
  <si>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</si>
  <si>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</si>
  <si>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</si>
  <si>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</si>
  <si>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</si>
  <si>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</si>
  <si>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</si>
  <si>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</si>
  <si>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</si>
  <si>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</si>
  <si>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</si>
  <si>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</si>
  <si>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</si>
  <si>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</si>
  <si>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</si>
  <si>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</si>
  <si>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</si>
  <si>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</si>
  <si>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</si>
  <si>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</si>
  <si>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</si>
  <si>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</si>
  <si>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</si>
  <si>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</si>
  <si>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</si>
  <si>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</si>
  <si>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</si>
  <si>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</si>
  <si>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</si>
  <si>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</si>
  <si>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</si>
  <si>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</si>
  <si>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</si>
  <si>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</si>
  <si>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</si>
  <si>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</si>
  <si>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</si>
  <si>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</si>
  <si>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</si>
  <si>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</si>
  <si>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</si>
  <si>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</si>
  <si>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</si>
  <si>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</si>
  <si>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</si>
  <si>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</si>
  <si>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</si>
  <si>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</si>
  <si>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</si>
  <si>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</si>
  <si>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</si>
  <si>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</si>
  <si>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</si>
  <si>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</si>
  <si>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</si>
  <si>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</si>
  <si>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</si>
  <si>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</si>
  <si>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</si>
  <si>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</si>
  <si>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</si>
  <si>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</si>
  <si>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</si>
  <si>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</si>
  <si>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</si>
  <si>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</si>
  <si>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</si>
  <si>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</si>
  <si>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</si>
  <si>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</si>
  <si>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</si>
  <si>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</si>
  <si>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</si>
  <si>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</si>
  <si>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</si>
  <si>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</si>
  <si>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</si>
  <si>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</si>
  <si>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</si>
  <si>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</si>
  <si>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</si>
  <si>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</si>
  <si>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</si>
  <si>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</si>
  <si>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</si>
  <si>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</si>
  <si>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</si>
  <si>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</si>
  <si>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</si>
  <si>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</si>
  <si>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</si>
  <si>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</si>
  <si>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</si>
  <si>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</si>
  <si>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</si>
  <si>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</si>
  <si>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</si>
  <si>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</si>
  <si>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</si>
  <si>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</si>
  <si>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</si>
  <si>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</si>
  <si>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</si>
  <si>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</si>
  <si>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</si>
  <si>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</si>
  <si>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</si>
  <si>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</si>
  <si>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</si>
  <si>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</si>
  <si>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</si>
  <si>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</si>
  <si>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</si>
  <si>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</si>
  <si>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</si>
  <si>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</si>
  <si>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</si>
  <si>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</si>
  <si>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</si>
  <si>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</si>
  <si>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</si>
  <si>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</si>
  <si>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</si>
  <si>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</si>
  <si>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</si>
  <si>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</si>
  <si>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</si>
  <si>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</si>
  <si>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</si>
  <si>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</si>
  <si>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</si>
  <si>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</si>
  <si>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</si>
  <si>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</si>
  <si>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</si>
  <si>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</si>
  <si>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</si>
  <si>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</si>
  <si>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</si>
  <si>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</si>
  <si>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</si>
  <si>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</si>
  <si>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</si>
  <si>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</si>
  <si>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</si>
  <si>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</si>
  <si>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</si>
  <si>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</si>
  <si>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</si>
  <si>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</si>
  <si>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</si>
  <si>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</si>
  <si>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</si>
  <si>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</si>
  <si>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</si>
  <si>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</si>
  <si>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</si>
  <si>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</si>
  <si>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</si>
  <si>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</si>
  <si>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</si>
  <si>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</si>
  <si>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</si>
  <si>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</si>
  <si>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</si>
  <si>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</si>
  <si>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</si>
  <si>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</si>
  <si>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</si>
  <si>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</si>
  <si>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</si>
  <si>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</si>
  <si>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</si>
  <si>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</si>
  <si>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</si>
  <si>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</si>
  <si>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</si>
  <si>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</si>
  <si>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</si>
  <si>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</si>
  <si>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</si>
  <si>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</si>
  <si>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</si>
  <si>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</si>
  <si>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</si>
  <si>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</si>
  <si>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</si>
  <si>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</si>
  <si>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</si>
  <si>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</si>
  <si>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</si>
  <si>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</si>
  <si>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</si>
  <si>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</si>
  <si>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</si>
  <si>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</si>
  <si>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</si>
  <si>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</si>
  <si>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</si>
  <si>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</si>
  <si>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</si>
  <si>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</si>
  <si>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</si>
  <si>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</si>
  <si>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</si>
  <si>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</si>
  <si>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</si>
  <si>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</si>
  <si>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</si>
  <si>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</si>
  <si>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</si>
  <si>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</si>
  <si>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</si>
  <si>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</si>
  <si>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</si>
  <si>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</si>
  <si>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</si>
  <si>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</si>
  <si>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</si>
  <si>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</si>
  <si>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</si>
  <si>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</si>
  <si>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</si>
  <si>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</si>
  <si>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</si>
  <si>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</si>
  <si>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</si>
  <si>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</si>
  <si>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</si>
  <si>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</si>
  <si>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</si>
  <si>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</si>
  <si>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</si>
  <si>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</si>
  <si>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</si>
  <si>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</si>
  <si>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</si>
  <si>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</si>
  <si>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</si>
  <si>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</si>
  <si>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</si>
  <si>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</si>
  <si>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</si>
  <si>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</si>
  <si>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</si>
  <si>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</si>
  <si>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</si>
  <si>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</si>
  <si>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</si>
  <si>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</si>
  <si>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</si>
  <si>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</si>
  <si>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</si>
  <si>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</si>
  <si>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</si>
  <si>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</si>
  <si>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</si>
  <si>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</si>
  <si>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</si>
  <si>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</si>
  <si>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</si>
  <si>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</si>
  <si>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</si>
  <si>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</si>
  <si>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</si>
  <si>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</si>
  <si>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</si>
  <si>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</si>
  <si>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</si>
  <si>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</si>
  <si>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</si>
  <si>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</si>
  <si>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</si>
  <si>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</si>
  <si>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</si>
  <si>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</si>
  <si>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</si>
  <si>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</si>
  <si>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</si>
  <si>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</si>
  <si>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</si>
  <si>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</si>
  <si>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</si>
  <si>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</si>
  <si>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</si>
  <si>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</si>
  <si>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</si>
  <si>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</si>
  <si>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</si>
  <si>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</si>
  <si>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</si>
  <si>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</si>
  <si>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</si>
  <si>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</si>
  <si>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</si>
  <si>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</si>
  <si>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</si>
  <si>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</si>
  <si>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</si>
  <si>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</si>
  <si>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</si>
  <si>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</si>
  <si>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</si>
  <si>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</si>
  <si>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</si>
  <si>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</si>
  <si>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</si>
  <si>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</si>
  <si>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</si>
  <si>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</si>
  <si>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</si>
  <si>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</si>
  <si>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</si>
  <si>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</si>
  <si>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</si>
  <si>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</si>
  <si>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</si>
  <si>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</si>
  <si>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</si>
  <si>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</si>
  <si>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</si>
  <si>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</si>
  <si>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</si>
  <si>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</si>
  <si>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</si>
  <si>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</si>
  <si>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</si>
  <si>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</si>
  <si>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</si>
  <si>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</si>
  <si>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</si>
  <si>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</si>
  <si>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</si>
  <si>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</si>
  <si>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</si>
  <si>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</si>
  <si>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</si>
  <si>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</si>
  <si>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</si>
  <si>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</si>
  <si>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</si>
  <si>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</si>
  <si>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</si>
  <si>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</si>
  <si>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</si>
  <si>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</si>
  <si>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</si>
  <si>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</si>
  <si>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</si>
  <si>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</si>
  <si>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</si>
  <si>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</si>
  <si>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</si>
  <si>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</si>
  <si>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</si>
  <si>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</si>
  <si>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</si>
  <si>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</si>
  <si>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</si>
  <si>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</si>
  <si>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</si>
  <si>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</si>
  <si>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</si>
  <si>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</si>
  <si>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</si>
  <si>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</si>
  <si>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</si>
  <si>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</si>
  <si>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</si>
  <si>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</si>
  <si>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</si>
  <si>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</si>
  <si>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</si>
  <si>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</si>
  <si>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</si>
  <si>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</si>
  <si>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</si>
  <si>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</si>
  <si>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</si>
  <si>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</si>
  <si>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</si>
  <si>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</si>
  <si>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</si>
  <si>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</si>
  <si>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</si>
  <si>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</si>
  <si>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</si>
  <si>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</si>
  <si>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</si>
  <si>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</si>
  <si>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</si>
  <si>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</si>
  <si>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</si>
  <si>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</si>
  <si>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</si>
  <si>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</si>
  <si>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</si>
  <si>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</si>
  <si>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</si>
  <si>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</si>
  <si>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</si>
  <si>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</si>
  <si>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</si>
  <si>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</si>
  <si>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</si>
  <si>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</si>
  <si>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</si>
  <si>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</si>
  <si>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</si>
  <si>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</si>
  <si>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</si>
  <si>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</si>
  <si>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</si>
  <si>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</si>
  <si>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</si>
  <si>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</si>
  <si>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</si>
  <si>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</si>
  <si>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</si>
  <si>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</si>
  <si>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</si>
  <si>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</si>
  <si>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</si>
  <si>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</si>
  <si>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</si>
  <si>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</si>
  <si>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</si>
  <si>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</si>
  <si>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</si>
  <si>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</si>
  <si>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</si>
  <si>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</si>
  <si>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</si>
  <si>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</si>
  <si>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</si>
  <si>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</si>
  <si>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</si>
  <si>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</si>
  <si>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</si>
  <si>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</si>
  <si>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</si>
  <si>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</si>
  <si>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</si>
  <si>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</si>
  <si>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</si>
  <si>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</si>
  <si>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</si>
  <si>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</si>
  <si>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</si>
  <si>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</si>
  <si>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</si>
  <si>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</si>
  <si>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</si>
  <si>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</si>
  <si>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</si>
  <si>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</si>
  <si>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</si>
  <si>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</si>
  <si>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</si>
  <si>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</si>
  <si>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</si>
  <si>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</si>
  <si>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</si>
  <si>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</si>
  <si>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</si>
  <si>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</si>
  <si>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</si>
  <si>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</si>
  <si>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</si>
  <si>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</si>
  <si>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</si>
  <si>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</si>
  <si>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</si>
  <si>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</si>
  <si>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</si>
  <si>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</si>
  <si>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</si>
  <si>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</si>
  <si>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</si>
  <si>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</si>
  <si>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</si>
  <si>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</si>
  <si>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</si>
  <si>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</si>
  <si>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</si>
  <si>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</si>
  <si>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</si>
  <si>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</si>
  <si>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</si>
  <si>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</si>
  <si>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</si>
  <si>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</si>
  <si>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</si>
  <si>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</si>
  <si>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</si>
  <si>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</si>
  <si>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</si>
  <si>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</si>
  <si>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</si>
  <si>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</si>
  <si>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</si>
  <si>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</si>
  <si>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</si>
  <si>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</si>
  <si>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</si>
  <si>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</si>
  <si>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</si>
  <si>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</si>
  <si>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</si>
  <si>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</si>
  <si>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</si>
  <si>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</si>
  <si>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</si>
  <si>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</si>
  <si>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</si>
  <si>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</si>
  <si>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</si>
  <si>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</si>
  <si>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</si>
  <si>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</si>
  <si>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</si>
  <si>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</si>
  <si>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</si>
  <si>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</si>
  <si>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</si>
  <si>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</si>
  <si>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</si>
  <si>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</si>
  <si>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</si>
  <si>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</si>
  <si>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</si>
  <si>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</si>
  <si>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</si>
  <si>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</si>
  <si>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</si>
  <si>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</si>
  <si>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</si>
  <si>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</si>
  <si>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</si>
  <si>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</si>
  <si>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</si>
  <si>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</si>
  <si>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</si>
  <si>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</si>
  <si>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</si>
  <si>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</si>
  <si>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</si>
  <si>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</si>
  <si>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</si>
  <si>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</si>
  <si>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</si>
  <si>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</si>
  <si>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</si>
  <si>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</si>
  <si>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</si>
  <si>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</si>
  <si>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</si>
  <si>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</si>
  <si>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</si>
  <si>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</si>
  <si>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</si>
  <si>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</si>
  <si>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</si>
  <si>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</si>
  <si>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</si>
  <si>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</si>
  <si>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</si>
  <si>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</si>
  <si>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</si>
  <si>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</si>
  <si>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</si>
  <si>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</si>
  <si>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</si>
  <si>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</si>
  <si>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</si>
  <si>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</si>
  <si>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</si>
  <si>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</si>
  <si>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</si>
  <si>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</si>
  <si>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</si>
  <si>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</si>
  <si>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</si>
  <si>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</si>
  <si>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</si>
  <si>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</si>
  <si>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</si>
  <si>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</si>
  <si>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</si>
  <si>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</si>
  <si>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</si>
  <si>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</si>
  <si>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</si>
  <si>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</si>
  <si>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</si>
  <si>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</si>
  <si>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</si>
  <si>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</si>
  <si>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</si>
  <si>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</si>
  <si>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</si>
  <si>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</si>
  <si>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</si>
  <si>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</si>
  <si>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</si>
  <si>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</si>
  <si>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</si>
  <si>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</si>
  <si>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</si>
  <si>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</si>
  <si>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</si>
  <si>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</si>
  <si>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</si>
  <si>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</si>
  <si>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</si>
  <si>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</si>
  <si>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</si>
  <si>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</si>
  <si>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</si>
  <si>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</si>
  <si>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</si>
  <si>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</si>
  <si>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</si>
  <si>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</si>
  <si>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</si>
  <si>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</si>
  <si>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</si>
  <si>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</si>
  <si>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</si>
  <si>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</si>
  <si>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</si>
  <si>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</si>
  <si>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</si>
  <si>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</si>
  <si>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</si>
  <si>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</si>
  <si>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</si>
  <si>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</si>
  <si>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</si>
  <si>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</si>
  <si>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</si>
  <si>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</si>
  <si>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</si>
  <si>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</si>
  <si>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</si>
  <si>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</si>
  <si>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</si>
  <si>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</si>
  <si>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</si>
  <si>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</si>
  <si>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</si>
  <si>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</si>
  <si>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</si>
  <si>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</si>
  <si>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</si>
  <si>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</si>
  <si>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</si>
  <si>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</si>
  <si>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</si>
  <si>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</si>
  <si>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</si>
  <si>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</si>
  <si>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</si>
  <si>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</si>
  <si>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</si>
  <si>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</si>
  <si>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</si>
  <si>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</si>
  <si>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</si>
  <si>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</si>
  <si>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</si>
  <si>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</si>
  <si>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</si>
  <si>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</si>
  <si>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</si>
  <si>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</si>
  <si>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</si>
  <si>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</si>
  <si>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</si>
  <si>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</si>
  <si>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</si>
  <si>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</si>
  <si>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</si>
  <si>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</si>
  <si>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</si>
  <si>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</si>
  <si>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</si>
  <si>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</si>
  <si>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</si>
  <si>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</si>
  <si>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</si>
  <si>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</si>
  <si>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</si>
  <si>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</si>
  <si>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</si>
  <si>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</si>
  <si>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</si>
  <si>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</si>
  <si>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</si>
  <si>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</si>
  <si>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</si>
  <si>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</si>
  <si>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</si>
  <si>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</si>
  <si>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</si>
  <si>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</si>
  <si>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</si>
  <si>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</si>
  <si>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</si>
  <si>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</si>
  <si>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</si>
  <si>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</si>
  <si>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</si>
  <si>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</si>
  <si>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</si>
  <si>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</si>
  <si>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</si>
  <si>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</si>
  <si>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</si>
  <si>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</si>
  <si>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</si>
  <si>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</si>
  <si>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</si>
  <si>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</si>
  <si>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</si>
  <si>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</si>
  <si>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</si>
  <si>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</si>
  <si>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</si>
  <si>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</si>
  <si>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</si>
  <si>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</si>
  <si>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</si>
  <si>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</si>
  <si>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</si>
  <si>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</si>
  <si>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</si>
  <si>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</si>
  <si>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</si>
  <si>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</si>
  <si>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</si>
  <si>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</si>
  <si>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</si>
  <si>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</si>
  <si>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</si>
  <si>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</si>
  <si>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</si>
  <si>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</si>
  <si>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</si>
  <si>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</si>
  <si>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</si>
  <si>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</si>
  <si>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</si>
  <si>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</si>
  <si>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</si>
  <si>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</si>
  <si>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</si>
  <si>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</si>
  <si>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</si>
  <si>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</si>
  <si>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</si>
  <si>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</si>
  <si>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</si>
  <si>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</si>
  <si>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</si>
  <si>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</si>
  <si>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</si>
  <si>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</si>
  <si>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</si>
  <si>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</si>
  <si>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</si>
  <si>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</si>
  <si>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</si>
  <si>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</si>
  <si>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</si>
  <si>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</si>
  <si>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</si>
  <si>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</si>
  <si>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</si>
  <si>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</si>
  <si>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</si>
  <si>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</si>
  <si>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</si>
  <si>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</si>
  <si>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</si>
  <si>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</si>
  <si>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</si>
  <si>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</si>
  <si>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</si>
  <si>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</si>
  <si>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</si>
  <si>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</si>
  <si>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</si>
  <si>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</si>
  <si>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</si>
  <si>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</si>
  <si>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</si>
  <si>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</si>
  <si>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</si>
  <si>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</si>
  <si>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</si>
  <si>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</si>
  <si>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</si>
  <si>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</si>
  <si>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</si>
  <si>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</si>
  <si>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</si>
  <si>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</si>
  <si>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</si>
  <si>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</si>
  <si>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</si>
  <si>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</si>
  <si>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</si>
  <si>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</si>
  <si>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</si>
  <si>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</si>
  <si>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</si>
  <si>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</si>
  <si>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</si>
  <si>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</si>
  <si>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</si>
  <si>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</si>
  <si>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</si>
  <si>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</si>
  <si>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</si>
  <si>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</si>
  <si>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</si>
  <si>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</si>
  <si>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</si>
  <si>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</si>
  <si>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</si>
  <si>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</si>
  <si>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</si>
  <si>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</si>
  <si>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</si>
  <si>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</si>
  <si>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</si>
  <si>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</si>
  <si>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</si>
  <si>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</si>
  <si>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</si>
  <si>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</si>
  <si>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</si>
  <si>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</si>
  <si>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</si>
  <si>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</si>
  <si>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</si>
  <si>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</si>
  <si>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</si>
  <si>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</si>
  <si>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</si>
  <si>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</si>
  <si>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</si>
  <si>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</si>
  <si>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</si>
  <si>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</si>
  <si>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</si>
  <si>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</si>
  <si>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</si>
  <si>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</si>
  <si>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</si>
  <si>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</si>
  <si>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</si>
  <si>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</si>
  <si>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</si>
  <si>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</si>
  <si>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</si>
  <si>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</si>
  <si>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</si>
  <si>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</si>
  <si>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</si>
  <si>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</si>
  <si>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</si>
  <si>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</si>
  <si>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</si>
  <si>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</si>
  <si>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</si>
  <si>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</si>
  <si>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</si>
  <si>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</si>
  <si>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</si>
  <si>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</si>
  <si>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</si>
  <si>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</si>
  <si>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</si>
  <si>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</si>
  <si>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</si>
  <si>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</si>
  <si>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</si>
  <si>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</si>
  <si>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</si>
  <si>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</si>
  <si>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</si>
  <si>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</si>
  <si>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</si>
  <si>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</si>
  <si>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</si>
  <si>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</si>
  <si>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</si>
  <si>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</si>
  <si>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</si>
  <si>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</si>
  <si>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</si>
  <si>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</si>
  <si>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</si>
  <si>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</si>
  <si>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</si>
  <si>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</si>
  <si>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</si>
  <si>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</si>
  <si>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</si>
  <si>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</si>
  <si>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</si>
  <si>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</si>
  <si>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</si>
  <si>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</si>
  <si>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</si>
  <si>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</si>
  <si>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</si>
  <si>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</si>
  <si>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</si>
  <si>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</si>
  <si>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</si>
  <si>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</si>
  <si>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</si>
  <si>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</si>
  <si>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</si>
  <si>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</si>
  <si>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</si>
  <si>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</si>
  <si>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</si>
  <si>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</si>
  <si>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</si>
  <si>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</si>
  <si>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</si>
  <si>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</si>
  <si>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</si>
  <si>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</si>
  <si>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</si>
  <si>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</si>
  <si>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</si>
  <si>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</si>
  <si>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</si>
  <si>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</si>
  <si>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</si>
  <si>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</si>
  <si>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</si>
  <si>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</si>
  <si>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</si>
  <si>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</si>
  <si>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</si>
  <si>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</si>
  <si>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</si>
  <si>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</si>
  <si>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</si>
  <si>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</si>
  <si>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</si>
  <si>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</si>
  <si>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</si>
  <si>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</si>
  <si>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</si>
  <si>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</si>
  <si>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</si>
  <si>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</si>
  <si>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</si>
  <si>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</si>
  <si>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</si>
  <si>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</si>
  <si>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</si>
  <si>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</si>
  <si>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</si>
  <si>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</si>
  <si>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</si>
  <si>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</si>
  <si>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</si>
  <si>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</si>
  <si>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</si>
  <si>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</si>
  <si>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</si>
  <si>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</si>
  <si>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</si>
  <si>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</si>
  <si>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</si>
  <si>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</si>
  <si>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</si>
  <si>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</si>
  <si>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</si>
  <si>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</si>
  <si>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</si>
  <si>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</si>
  <si>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</si>
  <si>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</si>
  <si>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</si>
  <si>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</si>
  <si>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</si>
  <si>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</si>
  <si>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</si>
  <si>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</si>
  <si>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</si>
  <si>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</si>
  <si>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</si>
  <si>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</si>
  <si>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</si>
  <si>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</si>
  <si>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</si>
  <si>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</si>
  <si>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</si>
  <si>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</si>
  <si>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</si>
  <si>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</si>
  <si>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</si>
  <si>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</si>
  <si>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</si>
  <si>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</si>
  <si>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</si>
  <si>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</si>
  <si>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</si>
  <si>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</si>
  <si>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</si>
  <si>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</si>
  <si>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</si>
  <si>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</si>
  <si>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</si>
  <si>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</si>
  <si>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</si>
  <si>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</si>
  <si>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</si>
  <si>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</si>
  <si>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</si>
  <si>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</si>
  <si>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</si>
  <si>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</si>
  <si>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</si>
  <si>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</si>
  <si>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</si>
  <si>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</si>
  <si>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</si>
  <si>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</si>
  <si>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</si>
  <si>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</si>
  <si>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</si>
  <si>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</si>
  <si>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</si>
  <si>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</si>
  <si>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</si>
  <si>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</si>
  <si>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</si>
  <si>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</si>
  <si>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</si>
  <si>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</si>
  <si>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</si>
  <si>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</si>
  <si>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</si>
  <si>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</si>
  <si>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</si>
  <si>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</si>
  <si>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</si>
  <si>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</si>
  <si>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</si>
  <si>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</si>
  <si>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</si>
  <si>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</si>
  <si>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</si>
  <si>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</si>
  <si>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</si>
  <si>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</si>
  <si>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</si>
  <si>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</si>
  <si>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</si>
  <si>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</si>
  <si>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</si>
  <si>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</si>
  <si>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</si>
  <si>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</si>
  <si>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</si>
  <si>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</si>
  <si>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</si>
  <si>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</si>
  <si>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</si>
  <si>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</si>
  <si>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</si>
  <si>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</si>
  <si>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</si>
  <si>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</si>
  <si>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</si>
  <si>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</si>
  <si>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</si>
  <si>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</si>
  <si>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</si>
  <si>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</si>
  <si>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</si>
  <si>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</si>
  <si>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</si>
  <si>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</si>
  <si>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</si>
  <si>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</si>
  <si>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</si>
  <si>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</si>
  <si>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</si>
  <si>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</si>
  <si>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</si>
  <si>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</si>
  <si>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</si>
  <si>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</si>
  <si>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</si>
  <si>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</si>
  <si>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</si>
  <si>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</si>
  <si>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</si>
  <si>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</si>
  <si>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</si>
  <si>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</si>
  <si>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</si>
  <si>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</si>
  <si>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</si>
  <si>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</si>
  <si>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</si>
  <si>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</si>
  <si>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</si>
  <si>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</si>
  <si>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</si>
  <si>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</si>
  <si>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</si>
  <si>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</si>
  <si>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</si>
  <si>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</si>
  <si>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</si>
  <si>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</si>
  <si>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</si>
  <si>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</si>
  <si>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</si>
  <si>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</si>
  <si>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</si>
  <si>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</si>
  <si>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</si>
  <si>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</si>
  <si>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</si>
  <si>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</si>
  <si>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</si>
  <si>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</si>
  <si>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</si>
  <si>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</si>
  <si>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</si>
  <si>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</si>
  <si>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</si>
  <si>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</si>
  <si>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</si>
  <si>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</si>
  <si>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</si>
  <si>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</si>
  <si>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</si>
  <si>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</si>
  <si>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</si>
  <si>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</si>
  <si>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</si>
  <si>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</si>
  <si>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</si>
  <si>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</si>
  <si>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</si>
  <si>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</si>
  <si>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</si>
  <si>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</si>
  <si>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</si>
  <si>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</si>
  <si>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</si>
  <si>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</si>
  <si>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</si>
  <si>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</si>
  <si>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</si>
  <si>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</si>
  <si>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</si>
  <si>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</si>
  <si>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</si>
  <si>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</si>
  <si>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</si>
  <si>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</si>
  <si>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</si>
  <si>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</si>
  <si>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</si>
  <si>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</si>
  <si>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</si>
  <si>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</si>
  <si>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</si>
  <si>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</si>
  <si>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</si>
  <si>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</si>
  <si>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</si>
  <si>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</si>
  <si>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</si>
  <si>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</si>
  <si>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</si>
  <si>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</si>
  <si>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</si>
  <si>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</si>
  <si>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</si>
  <si>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</si>
  <si>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</si>
  <si>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</si>
  <si>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</si>
  <si>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</si>
  <si>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</si>
  <si>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</si>
  <si>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</si>
  <si>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</si>
  <si>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</si>
  <si>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</si>
  <si>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</si>
  <si>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</si>
  <si>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</si>
  <si>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</si>
  <si>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</si>
  <si>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</si>
  <si>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</si>
  <si>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</si>
  <si>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</si>
  <si>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</si>
  <si>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</si>
  <si>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</si>
  <si>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</si>
  <si>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</si>
  <si>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</si>
  <si>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</si>
  <si>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</si>
  <si>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</si>
  <si>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</si>
  <si>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</si>
  <si>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</si>
  <si>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</si>
  <si>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</si>
  <si>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</si>
  <si>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</si>
  <si>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</si>
  <si>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</si>
  <si>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</si>
  <si>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</si>
  <si>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</si>
  <si>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</si>
  <si>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</si>
  <si>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</si>
  <si>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</si>
  <si>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</si>
  <si>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</si>
  <si>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</si>
  <si>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</si>
  <si>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</si>
  <si>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</si>
  <si>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</si>
  <si>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</si>
  <si>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</si>
  <si>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</si>
  <si>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</si>
  <si>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</si>
  <si>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</si>
  <si>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</si>
  <si>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</si>
  <si>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</si>
  <si>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</si>
  <si>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</si>
  <si>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</si>
  <si>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</si>
  <si>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</si>
  <si>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</si>
  <si>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</si>
  <si>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</si>
  <si>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</si>
  <si>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</si>
  <si>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</si>
  <si>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</si>
  <si>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</si>
  <si>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</si>
  <si>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</si>
  <si>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</si>
  <si>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</si>
  <si>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</si>
  <si>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</si>
  <si>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</si>
  <si>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</si>
  <si>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</si>
  <si>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</si>
  <si>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</si>
  <si>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</si>
  <si>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</si>
  <si>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</si>
  <si>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</si>
  <si>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</si>
  <si>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</si>
  <si>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</si>
  <si>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</si>
  <si>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</si>
  <si>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</si>
  <si>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</si>
  <si>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</si>
  <si>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</si>
  <si>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</si>
  <si>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</si>
  <si>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</si>
  <si>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</si>
  <si>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</si>
  <si>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</si>
  <si>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</si>
  <si>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</si>
  <si>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</si>
  <si>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</si>
  <si>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</si>
  <si>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</si>
  <si>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</si>
  <si>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</si>
  <si>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</si>
  <si>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</si>
  <si>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</si>
  <si>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</si>
  <si>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</si>
  <si>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</si>
  <si>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</si>
  <si>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</si>
  <si>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</si>
  <si>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</si>
  <si>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</si>
  <si>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</si>
  <si>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</si>
  <si>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</si>
  <si>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</si>
  <si>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</si>
  <si>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</si>
  <si>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</si>
  <si>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</si>
  <si>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</si>
  <si>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</si>
  <si>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</si>
  <si>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</si>
  <si>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</si>
  <si>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</si>
  <si>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</si>
  <si>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</si>
  <si>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</si>
  <si>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</si>
  <si>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</si>
  <si>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</si>
  <si>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</si>
  <si>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</si>
  <si>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</si>
  <si>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</si>
  <si>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</si>
  <si>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</si>
  <si>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</si>
  <si>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</si>
  <si>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</si>
  <si>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</si>
  <si>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</si>
  <si>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</si>
  <si>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</si>
  <si>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</si>
  <si>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</si>
  <si>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</si>
  <si>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</si>
  <si>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</si>
  <si>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</si>
  <si>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</si>
  <si>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</si>
  <si>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</si>
  <si>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</si>
  <si>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</si>
  <si>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</si>
  <si>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</si>
  <si>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</si>
  <si>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</si>
  <si>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</si>
  <si>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</si>
  <si>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</si>
  <si>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</si>
  <si>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</si>
  <si>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</si>
  <si>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</si>
  <si>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</si>
  <si>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</si>
  <si>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</si>
  <si>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</si>
  <si>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</si>
  <si>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</si>
  <si>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</si>
  <si>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</si>
  <si>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</si>
  <si>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</si>
  <si>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</si>
  <si>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</si>
  <si>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</si>
  <si>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</si>
  <si>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</si>
  <si>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</si>
  <si>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</si>
  <si>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</si>
  <si>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</si>
  <si>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</si>
  <si>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</si>
  <si>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</si>
  <si>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</si>
  <si>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</si>
  <si>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</si>
  <si>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</si>
  <si>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</si>
  <si>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</si>
  <si>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</si>
  <si>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</si>
  <si>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</si>
  <si>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</si>
  <si>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</si>
  <si>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</si>
  <si>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</si>
  <si>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</si>
  <si>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</si>
  <si>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</si>
  <si>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</si>
  <si>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</si>
  <si>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</si>
  <si>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</si>
  <si>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</si>
  <si>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</si>
  <si>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</si>
  <si>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</si>
  <si>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</si>
  <si>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</si>
  <si>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</si>
  <si>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</si>
  <si>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</si>
  <si>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</si>
  <si>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</si>
  <si>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</si>
  <si>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</si>
  <si>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</si>
  <si>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</si>
  <si>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</si>
  <si>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</si>
  <si>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</si>
  <si>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</si>
  <si>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</si>
  <si>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</si>
  <si>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</si>
  <si>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</si>
  <si>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</si>
  <si>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</si>
  <si>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</si>
  <si>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</si>
  <si>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</si>
  <si>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</si>
  <si>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</si>
  <si>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</si>
  <si>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</si>
  <si>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</si>
  <si>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</si>
  <si>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</si>
  <si>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</si>
  <si>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</si>
  <si>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</si>
  <si>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</si>
  <si>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</si>
  <si>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</si>
  <si>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</si>
  <si>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</si>
  <si>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</si>
  <si>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</si>
  <si>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</si>
  <si>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</si>
  <si>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</si>
  <si>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</si>
  <si>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</si>
  <si>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</si>
  <si>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</si>
  <si>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</si>
  <si>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</si>
  <si>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</si>
  <si>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</si>
  <si>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</si>
  <si>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</si>
  <si>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</si>
  <si>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</si>
  <si>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</si>
  <si>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</si>
  <si>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</si>
  <si>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</si>
  <si>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</si>
  <si>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</si>
  <si>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</si>
  <si>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</si>
  <si>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</si>
  <si>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</si>
  <si>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</si>
  <si>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</si>
  <si>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</si>
  <si>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</si>
  <si>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</si>
  <si>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</si>
  <si>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</si>
  <si>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</si>
  <si>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</si>
  <si>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</si>
  <si>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</si>
  <si>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</si>
  <si>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</si>
  <si>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</si>
  <si>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</si>
  <si>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</si>
  <si>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</si>
  <si>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</si>
  <si>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</si>
  <si>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</si>
  <si>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</si>
  <si>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</si>
  <si>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</si>
  <si>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</si>
  <si>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</si>
  <si>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</si>
  <si>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</si>
  <si>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</si>
  <si>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</si>
  <si>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</si>
  <si>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</si>
  <si>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</si>
  <si>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</si>
  <si>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</si>
  <si>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</si>
  <si>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</si>
  <si>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</si>
  <si>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</si>
  <si>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</si>
  <si>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</si>
  <si>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</si>
  <si>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</si>
  <si>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</si>
  <si>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</si>
  <si>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</si>
  <si>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</si>
  <si>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</si>
  <si>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</si>
  <si>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</si>
  <si>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</si>
  <si>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</si>
  <si>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</si>
  <si>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</si>
  <si>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</si>
  <si>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</si>
  <si>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</si>
  <si>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</si>
  <si>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</si>
  <si>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</si>
  <si>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</si>
  <si>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</si>
  <si>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</si>
  <si>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</si>
  <si>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</si>
  <si>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</si>
  <si>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</si>
  <si>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</si>
  <si>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</si>
  <si>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</si>
  <si>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</si>
  <si>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</si>
  <si>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</si>
  <si>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</si>
  <si>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</si>
  <si>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</si>
  <si>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</si>
  <si>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</si>
  <si>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</si>
  <si>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</si>
  <si>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</si>
  <si>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</si>
  <si>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</si>
  <si>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</si>
  <si>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</si>
  <si>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</si>
  <si>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</si>
  <si>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</si>
  <si>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</si>
  <si>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</si>
  <si>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</si>
  <si>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</si>
  <si>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</si>
  <si>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</si>
  <si>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</si>
  <si>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</si>
  <si>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</si>
  <si>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</si>
  <si>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</si>
  <si>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</si>
  <si>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</si>
  <si>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</si>
  <si>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</si>
  <si>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</si>
  <si>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</si>
  <si>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</si>
  <si>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</si>
  <si>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</si>
  <si>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</si>
  <si>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</si>
  <si>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</si>
  <si>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</si>
  <si>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</si>
  <si>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</si>
  <si>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</si>
  <si>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</si>
  <si>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</si>
  <si>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</si>
  <si>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</si>
  <si>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</si>
  <si>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</si>
  <si>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</si>
  <si>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</si>
  <si>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</si>
  <si>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</si>
  <si>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</si>
  <si>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</si>
  <si>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</si>
  <si>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</si>
  <si>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</si>
  <si>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</si>
  <si>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</si>
  <si>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</si>
  <si>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</si>
  <si>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</si>
  <si>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</si>
  <si>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</si>
  <si>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</si>
  <si>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</si>
  <si>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</si>
  <si>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</si>
  <si>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</si>
  <si>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</si>
  <si>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</si>
  <si>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</si>
  <si>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</si>
  <si>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</si>
  <si>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</si>
  <si>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</si>
  <si>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</si>
  <si>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</si>
  <si>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</si>
  <si>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</si>
  <si>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</si>
  <si>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</si>
  <si>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</si>
  <si>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</si>
  <si>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</si>
  <si>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</si>
  <si>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</si>
  <si>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</si>
  <si>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</si>
  <si>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</si>
  <si>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</si>
  <si>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</si>
  <si>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</si>
  <si>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</si>
  <si>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</si>
  <si>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</si>
  <si>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</si>
  <si>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</si>
  <si>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</si>
  <si>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</si>
  <si>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</si>
  <si>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</si>
  <si>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</si>
  <si>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</si>
  <si>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</si>
  <si>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</si>
  <si>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</si>
  <si>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</si>
  <si>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</si>
  <si>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</si>
  <si>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</si>
  <si>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</si>
  <si>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</si>
  <si>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</si>
  <si>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</si>
  <si>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</si>
  <si>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</si>
  <si>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</si>
  <si>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</si>
  <si>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</si>
  <si>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</si>
  <si>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</si>
  <si>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</si>
  <si>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</si>
  <si>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</si>
  <si>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</si>
  <si>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</si>
  <si>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</si>
  <si>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</si>
  <si>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</si>
  <si>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</si>
  <si>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</si>
  <si>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</si>
  <si>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</si>
  <si>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</si>
  <si>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</si>
  <si>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</si>
  <si>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</si>
  <si>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</si>
  <si>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</si>
  <si>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</si>
  <si>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</si>
  <si>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</si>
  <si>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</si>
  <si>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</si>
  <si>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</si>
  <si>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</si>
  <si>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</si>
  <si>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</si>
  <si>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</si>
  <si>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</si>
  <si>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</si>
  <si>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</si>
  <si>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</si>
  <si>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</si>
  <si>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</si>
  <si>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</si>
  <si>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</si>
  <si>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</si>
  <si>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</si>
  <si>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</si>
  <si>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</si>
  <si>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</si>
  <si>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</si>
  <si>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</si>
  <si>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</si>
  <si>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</si>
  <si>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</si>
  <si>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</si>
  <si>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</si>
  <si>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</si>
  <si>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</si>
  <si>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</si>
  <si>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</si>
  <si>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</si>
  <si>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</si>
  <si>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</si>
  <si>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</si>
  <si>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</si>
  <si>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</si>
  <si>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</si>
  <si>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</si>
  <si>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</si>
  <si>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</si>
  <si>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</si>
  <si>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</si>
  <si>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</si>
  <si>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</si>
  <si>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</si>
  <si>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</si>
  <si>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</si>
  <si>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</si>
  <si>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</si>
  <si>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</si>
  <si>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</si>
  <si>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</si>
  <si>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</si>
  <si>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</si>
  <si>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</si>
  <si>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</si>
  <si>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</si>
  <si>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</si>
  <si>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</si>
  <si>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</si>
  <si>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</si>
  <si>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</si>
  <si>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</si>
  <si>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</si>
  <si>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</si>
  <si>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</si>
  <si>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</si>
  <si>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</si>
  <si>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</si>
  <si>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</si>
  <si>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</si>
  <si>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</si>
  <si>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</si>
  <si>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</si>
  <si>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</si>
  <si>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</si>
  <si>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</si>
  <si>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</si>
  <si>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</si>
  <si>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</si>
  <si>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</si>
  <si>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</si>
  <si>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</si>
  <si>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</si>
  <si>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</si>
  <si>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</si>
  <si>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</si>
  <si>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</si>
  <si>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</si>
  <si>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</si>
  <si>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</si>
  <si>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</si>
  <si>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</si>
  <si>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</si>
  <si>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</si>
  <si>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</si>
  <si>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</si>
  <si>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</si>
  <si>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</si>
  <si>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</si>
  <si>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</si>
  <si>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</si>
  <si>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</si>
  <si>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</si>
  <si>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</si>
  <si>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</si>
  <si>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</si>
  <si>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</si>
  <si>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</si>
  <si>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</si>
  <si>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</si>
  <si>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</si>
  <si>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</si>
  <si>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</si>
  <si>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</si>
  <si>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</si>
  <si>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</si>
  <si>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</si>
  <si>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</si>
  <si>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</si>
  <si>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</si>
  <si>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</si>
  <si>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</si>
  <si>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</si>
  <si>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</si>
  <si>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</si>
  <si>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</si>
  <si>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</si>
  <si>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</si>
  <si>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</si>
  <si>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</si>
  <si>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</si>
  <si>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</si>
  <si>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</si>
  <si>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</si>
  <si>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</si>
  <si>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</si>
  <si>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</si>
  <si>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</si>
  <si>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</si>
  <si>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</si>
  <si>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</si>
  <si>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</si>
  <si>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</si>
  <si>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</si>
  <si>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</si>
  <si>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</si>
  <si>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</si>
  <si>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</si>
  <si>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</si>
  <si>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</si>
  <si>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</si>
  <si>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</si>
  <si>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</si>
  <si>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</si>
  <si>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</si>
  <si>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</si>
  <si>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</si>
  <si>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</si>
  <si>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</si>
  <si>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</si>
  <si>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</si>
  <si>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</si>
  <si>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</si>
  <si>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</si>
  <si>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</si>
  <si>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</si>
  <si>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</si>
  <si>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</si>
  <si>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</si>
  <si>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</si>
  <si>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</si>
  <si>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</si>
  <si>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</si>
  <si>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</si>
  <si>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</si>
  <si>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</si>
  <si>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</si>
  <si>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</si>
  <si>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</si>
  <si>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</si>
  <si>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</si>
  <si>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</si>
  <si>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</si>
  <si>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</si>
  <si>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</si>
  <si>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</si>
  <si>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</si>
  <si>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</si>
  <si>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</si>
  <si>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</si>
  <si>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</si>
  <si>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</si>
  <si>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</si>
  <si>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</si>
  <si>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</si>
  <si>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</si>
  <si>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</si>
  <si>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</si>
  <si>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</si>
  <si>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</si>
  <si>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</si>
  <si>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</si>
  <si>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</si>
  <si>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</si>
  <si>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</si>
  <si>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</si>
  <si>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</si>
  <si>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</si>
  <si>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</si>
  <si>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</si>
  <si>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</si>
  <si>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</si>
  <si>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</si>
  <si>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</si>
  <si>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</si>
  <si>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</si>
  <si>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</si>
  <si>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</si>
  <si>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</si>
  <si>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</si>
  <si>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</si>
  <si>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</si>
  <si>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</si>
  <si>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</si>
  <si>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</si>
  <si>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</si>
  <si>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</si>
  <si>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</si>
  <si>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</si>
  <si>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</si>
  <si>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</si>
  <si>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</si>
  <si>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</si>
  <si>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</si>
  <si>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</si>
  <si>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</si>
  <si>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</si>
  <si>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</si>
  <si>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</si>
  <si>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</si>
  <si>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</si>
  <si>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</si>
  <si>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</si>
  <si>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</si>
  <si>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</si>
  <si>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</si>
  <si>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</si>
  <si>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</si>
  <si>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</si>
  <si>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</si>
  <si>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</si>
  <si>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</si>
  <si>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</si>
  <si>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</si>
  <si>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</si>
  <si>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</si>
  <si>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</si>
  <si>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</si>
  <si>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</si>
  <si>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</si>
  <si>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</si>
  <si>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</si>
  <si>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</si>
  <si>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</si>
  <si>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</si>
  <si>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</si>
  <si>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</si>
  <si>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</si>
  <si>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</si>
  <si>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</si>
  <si>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</si>
  <si>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</si>
  <si>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</si>
  <si>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</si>
  <si>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</si>
  <si>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</si>
  <si>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</si>
  <si>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</si>
  <si>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</si>
  <si>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</si>
  <si>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</si>
  <si>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</si>
  <si>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</si>
  <si>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</si>
  <si>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</si>
  <si>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</si>
  <si>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</si>
  <si>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</si>
  <si>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</si>
  <si>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</si>
  <si>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</si>
  <si>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</si>
  <si>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</si>
  <si>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</si>
  <si>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</si>
  <si>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</si>
  <si>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</si>
  <si>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</si>
  <si>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</si>
  <si>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</si>
  <si>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</si>
  <si>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</si>
  <si>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</si>
  <si>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</si>
  <si>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</si>
  <si>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</si>
  <si>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</si>
  <si>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</si>
  <si>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</si>
  <si>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</si>
  <si>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</si>
  <si>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</si>
  <si>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</si>
  <si>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</si>
  <si>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</si>
  <si>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</si>
  <si>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</si>
  <si>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</si>
  <si>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</si>
  <si>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</si>
  <si>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</si>
  <si>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</si>
  <si>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</si>
  <si>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</si>
  <si>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</si>
  <si>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</si>
  <si>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</si>
  <si>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</si>
  <si>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</si>
  <si>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</si>
  <si>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</si>
  <si>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</si>
  <si>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</si>
  <si>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</si>
  <si>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</si>
  <si>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</si>
  <si>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</si>
  <si>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</si>
  <si>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</si>
  <si>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</si>
  <si>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</si>
  <si>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</si>
  <si>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</si>
  <si>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</si>
  <si>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</si>
  <si>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</si>
  <si>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</si>
  <si>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</si>
  <si>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</si>
  <si>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</si>
  <si>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</si>
  <si>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</si>
  <si>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</si>
  <si>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</si>
  <si>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</si>
  <si>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</si>
  <si>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</si>
  <si>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</si>
  <si>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</si>
  <si>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</si>
  <si>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</si>
  <si>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</si>
  <si>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</si>
  <si>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</si>
  <si>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</si>
  <si>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</si>
  <si>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</si>
  <si>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</si>
  <si>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</si>
  <si>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</si>
  <si>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</si>
  <si>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</si>
  <si>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</si>
  <si>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</si>
  <si>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</si>
  <si>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</si>
  <si>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</si>
  <si>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</si>
  <si>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</si>
  <si>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</si>
  <si>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</si>
  <si>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</si>
  <si>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</si>
  <si>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</si>
  <si>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</si>
  <si>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</si>
  <si>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</si>
  <si>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</si>
  <si>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</si>
  <si>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</si>
  <si>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</si>
  <si>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</si>
  <si>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</si>
  <si>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</si>
  <si>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</si>
  <si>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</si>
  <si>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</si>
  <si>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</si>
  <si>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</si>
  <si>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</si>
  <si>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</si>
  <si>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</si>
  <si>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</si>
  <si>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</si>
  <si>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</si>
  <si>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</si>
  <si>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</si>
  <si>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</si>
  <si>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</si>
  <si>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</si>
  <si>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</si>
  <si>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</si>
  <si>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</si>
  <si>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</si>
  <si>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</si>
  <si>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</si>
  <si>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</si>
  <si>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</si>
  <si>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</si>
  <si>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</si>
  <si>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</si>
  <si>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</si>
  <si>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</si>
  <si>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</si>
  <si>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</si>
  <si>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</si>
  <si>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</si>
  <si>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</si>
  <si>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</si>
  <si>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</si>
  <si>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</si>
  <si>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</si>
  <si>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</si>
  <si>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</si>
  <si>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</si>
  <si>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</si>
  <si>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</si>
  <si>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</si>
  <si>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</si>
  <si>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</si>
  <si>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</si>
  <si>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</si>
  <si>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</si>
  <si>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</si>
  <si>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</si>
  <si>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</si>
  <si>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</si>
  <si>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</si>
  <si>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</si>
  <si>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</si>
  <si>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</si>
  <si>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</si>
  <si>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</si>
  <si>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</si>
  <si>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</si>
  <si>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</si>
  <si>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</si>
  <si>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</si>
  <si>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</si>
  <si>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</si>
  <si>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</si>
  <si>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</si>
  <si>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</si>
  <si>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</si>
  <si>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</si>
  <si>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</si>
  <si>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</si>
  <si>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</si>
  <si>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</si>
  <si>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</si>
  <si>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</si>
  <si>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</si>
  <si>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</si>
  <si>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</si>
  <si>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</si>
  <si>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</si>
  <si>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</si>
  <si>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</si>
  <si>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</si>
  <si>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</si>
  <si>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</si>
  <si>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</si>
  <si>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</si>
  <si>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</si>
  <si>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</si>
  <si>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</si>
  <si>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</si>
  <si>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</si>
  <si>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</si>
  <si>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</si>
  <si>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</si>
  <si>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</si>
  <si>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</si>
  <si>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</si>
  <si>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</si>
  <si>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</si>
  <si>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</si>
  <si>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</si>
  <si>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</si>
  <si>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</si>
  <si>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</si>
  <si>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</si>
  <si>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</si>
  <si>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</si>
  <si>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</si>
  <si>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</si>
  <si>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</si>
  <si>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</si>
  <si>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</si>
  <si>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</si>
  <si>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</si>
  <si>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</si>
  <si>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</si>
  <si>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</si>
  <si>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</si>
  <si>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</si>
  <si>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</si>
  <si>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</si>
  <si>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</si>
  <si>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</si>
  <si>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</si>
  <si>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</si>
  <si>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</si>
  <si>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</si>
  <si>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</si>
  <si>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</si>
  <si>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</si>
  <si>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</si>
  <si>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</si>
  <si>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</si>
  <si>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</si>
  <si>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</si>
  <si>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</si>
  <si>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</si>
  <si>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</si>
  <si>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</si>
  <si>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</si>
  <si>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</si>
  <si>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</si>
  <si>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</si>
  <si>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</si>
  <si>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</si>
  <si>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</si>
  <si>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</si>
  <si>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</si>
  <si>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</si>
  <si>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</si>
  <si>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</si>
  <si>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</si>
  <si>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</si>
  <si>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</si>
  <si>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</si>
  <si>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</si>
  <si>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</si>
  <si>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</si>
  <si>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</si>
  <si>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</si>
  <si>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</si>
  <si>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</si>
  <si>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</si>
  <si>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</si>
  <si>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</si>
  <si>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</si>
  <si>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</si>
  <si>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</si>
  <si>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</si>
  <si>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</si>
  <si>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</si>
  <si>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</si>
  <si>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</si>
  <si>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</si>
  <si>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</si>
  <si>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</si>
  <si>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</si>
  <si>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</si>
  <si>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</si>
  <si>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</si>
  <si>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</si>
  <si>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</si>
  <si>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</si>
  <si>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</si>
  <si>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</si>
  <si>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</si>
  <si>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</si>
  <si>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</si>
  <si>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</si>
  <si>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</si>
  <si>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</si>
  <si>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</si>
  <si>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</si>
  <si>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</si>
  <si>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</si>
  <si>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</si>
  <si>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</si>
  <si>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</si>
  <si>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</si>
  <si>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</si>
  <si>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</si>
  <si>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</si>
  <si>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</si>
  <si>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</si>
  <si>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</si>
  <si>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</si>
  <si>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</si>
  <si>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</si>
  <si>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</si>
  <si>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</si>
  <si>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</si>
  <si>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</si>
  <si>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</si>
  <si>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</si>
  <si>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</si>
  <si>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</si>
  <si>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</si>
  <si>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</si>
  <si>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</si>
  <si>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</si>
  <si>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</si>
  <si>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</si>
  <si>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</si>
  <si>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</si>
  <si>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</si>
  <si>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</si>
  <si>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</si>
  <si>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</si>
  <si>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</si>
  <si>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</si>
  <si>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</si>
  <si>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</si>
  <si>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</si>
  <si>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</si>
  <si>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</si>
  <si>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</si>
  <si>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</si>
  <si>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</si>
  <si>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</si>
  <si>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</si>
  <si>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</si>
  <si>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</si>
  <si>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</si>
  <si>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</si>
  <si>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</si>
  <si>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</si>
  <si>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</si>
  <si>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</si>
  <si>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</si>
  <si>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</si>
  <si>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</si>
  <si>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</si>
  <si>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</si>
  <si>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</si>
  <si>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</si>
  <si>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</si>
  <si>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</si>
  <si>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</si>
  <si>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</si>
  <si>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</si>
  <si>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</si>
  <si>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</si>
  <si>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</si>
  <si>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</si>
  <si>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</si>
  <si>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</si>
  <si>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</si>
  <si>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</si>
  <si>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</si>
  <si>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</si>
  <si>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</si>
  <si>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</si>
  <si>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</si>
  <si>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</si>
  <si>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</si>
  <si>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</si>
  <si>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</si>
  <si>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</si>
  <si>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</si>
  <si>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</si>
  <si>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</si>
  <si>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</si>
  <si>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</si>
  <si>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</si>
  <si>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</si>
  <si>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</si>
  <si>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</si>
  <si>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</si>
  <si>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</si>
  <si>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</si>
  <si>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</si>
  <si>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</si>
  <si>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</si>
  <si>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</si>
  <si>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</si>
  <si>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</si>
  <si>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</si>
  <si>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</si>
  <si>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</si>
  <si>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</si>
  <si>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</si>
  <si>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</si>
  <si>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</si>
  <si>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</si>
  <si>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</si>
  <si>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</si>
  <si>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</si>
  <si>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</si>
  <si>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</si>
  <si>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</si>
  <si>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</si>
  <si>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</si>
  <si>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</si>
  <si>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</si>
  <si>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</si>
  <si>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</si>
  <si>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</si>
  <si>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</si>
  <si>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</si>
  <si>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</si>
  <si>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</si>
  <si>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</si>
  <si>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</si>
  <si>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</si>
  <si>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</si>
  <si>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</si>
  <si>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</si>
  <si>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</si>
  <si>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</si>
  <si>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</si>
  <si>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</si>
  <si>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</si>
  <si>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</si>
  <si>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</si>
  <si>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</si>
  <si>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</si>
  <si>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</si>
  <si>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</si>
  <si>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</si>
  <si>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</si>
  <si>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</si>
  <si>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</si>
  <si>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</si>
  <si>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</si>
  <si>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</si>
  <si>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</si>
  <si>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</si>
  <si>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</si>
  <si>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</si>
  <si>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</si>
  <si>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</si>
  <si>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</si>
  <si>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</si>
  <si>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</si>
  <si>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</si>
  <si>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</si>
  <si>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</si>
  <si>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</si>
  <si>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</si>
  <si>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</si>
  <si>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</si>
  <si>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</si>
  <si>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</si>
  <si>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</si>
  <si>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</si>
  <si>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</si>
  <si>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</si>
  <si>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</si>
  <si>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</si>
  <si>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</si>
  <si>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</si>
  <si>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</si>
  <si>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</si>
  <si>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</si>
  <si>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</si>
  <si>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</si>
  <si>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</si>
  <si>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</si>
  <si>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</si>
  <si>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</si>
  <si>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</si>
  <si>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</si>
  <si>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</si>
  <si>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</si>
  <si>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</si>
  <si>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</si>
  <si>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</si>
  <si>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</si>
  <si>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</si>
  <si>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</si>
  <si>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</si>
  <si>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</si>
  <si>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</si>
  <si>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</si>
  <si>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</si>
  <si>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</si>
  <si>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</si>
  <si>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</si>
  <si>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</si>
  <si>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</si>
  <si>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</si>
  <si>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</si>
  <si>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</si>
  <si>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</si>
  <si>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</si>
  <si>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</si>
  <si>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</si>
  <si>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</si>
  <si>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</si>
  <si>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</si>
  <si>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</si>
  <si>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</si>
  <si>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</si>
  <si>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</si>
  <si>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</si>
  <si>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</si>
  <si>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</si>
  <si>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</si>
  <si>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</si>
  <si>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</si>
  <si>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</si>
  <si>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</si>
  <si>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</si>
  <si>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</si>
  <si>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</si>
  <si>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</si>
  <si>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</si>
  <si>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</si>
  <si>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</si>
  <si>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</si>
  <si>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</si>
  <si>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</si>
  <si>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</si>
  <si>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</si>
  <si>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</si>
  <si>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</si>
  <si>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</si>
  <si>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</si>
  <si>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</si>
  <si>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</si>
  <si>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</si>
  <si>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</si>
  <si>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</si>
  <si>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</si>
  <si>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</si>
  <si>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</si>
  <si>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</si>
  <si>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</si>
  <si>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</si>
  <si>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</si>
  <si>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</si>
  <si>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</si>
  <si>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</si>
  <si>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</si>
  <si>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</si>
  <si>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</si>
  <si>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</si>
  <si>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</si>
  <si>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</si>
  <si>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</si>
  <si>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</si>
  <si>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</si>
  <si>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</si>
  <si>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</si>
  <si>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</si>
  <si>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</si>
  <si>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</si>
  <si>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</si>
  <si>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</si>
  <si>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</si>
  <si>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</si>
  <si>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</si>
  <si>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</si>
  <si>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</si>
  <si>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</si>
  <si>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</si>
  <si>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</si>
  <si>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</si>
  <si>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</si>
  <si>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</si>
  <si>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</si>
  <si>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</si>
  <si>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</si>
  <si>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</si>
  <si>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</si>
  <si>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</si>
  <si>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</si>
  <si>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</si>
  <si>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</si>
  <si>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</si>
  <si>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</si>
  <si>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</si>
  <si>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</si>
  <si>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</si>
  <si>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</si>
  <si>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</si>
  <si>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</si>
  <si>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</si>
  <si>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</si>
  <si>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</si>
  <si>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</si>
  <si>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</si>
  <si>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</si>
  <si>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</si>
  <si>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</si>
  <si>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</si>
  <si>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</si>
  <si>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</si>
  <si>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</si>
  <si>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</si>
  <si>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</si>
  <si>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</si>
  <si>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</si>
  <si>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</si>
  <si>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</si>
  <si>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</si>
  <si>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</si>
  <si>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</si>
  <si>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</si>
  <si>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</si>
  <si>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</si>
  <si>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</si>
  <si>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</si>
  <si>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</si>
  <si>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</si>
  <si>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</si>
  <si>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</si>
  <si>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</si>
  <si>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</si>
  <si>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</si>
  <si>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</si>
  <si>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</si>
  <si>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</si>
  <si>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</si>
  <si>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</si>
  <si>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</si>
  <si>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</si>
  <si>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</si>
  <si>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</si>
  <si>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</si>
  <si>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</si>
  <si>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</si>
  <si>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</si>
  <si>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</si>
  <si>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</si>
  <si>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</si>
  <si>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</si>
  <si>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</si>
  <si>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</si>
  <si>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</si>
  <si>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</si>
  <si>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</si>
  <si>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</si>
  <si>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</si>
  <si>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</si>
  <si>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</si>
  <si>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</si>
  <si>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</si>
  <si>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</si>
  <si>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</si>
  <si>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</si>
  <si>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</si>
  <si>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</si>
  <si>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</si>
  <si>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</si>
  <si>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</si>
  <si>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</si>
  <si>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</si>
  <si>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</si>
  <si>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</si>
  <si>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</si>
  <si>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</si>
  <si>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</si>
  <si>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</si>
  <si>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</si>
  <si>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</si>
  <si>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</si>
  <si>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</si>
  <si>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</si>
  <si>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</si>
  <si>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</si>
  <si>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</si>
  <si>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</si>
  <si>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</si>
  <si>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</si>
  <si>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</si>
  <si>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</si>
  <si>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</si>
  <si>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</si>
  <si>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</si>
  <si>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</si>
  <si>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企业</t>
  </si>
  <si>
    <t>房地产抵押价值</t>
  </si>
  <si>
    <t>与房产证证载一致</t>
  </si>
  <si>
    <t>抵押</t>
  </si>
  <si>
    <t>万元</t>
  </si>
  <si>
    <t>总价</t>
  </si>
  <si>
    <t>工业</t>
  </si>
  <si>
    <t>无租约</t>
  </si>
  <si>
    <t>利息：取LPR加浮动点数</t>
  </si>
  <si>
    <t>工业用地</t>
  </si>
  <si>
    <t>通路</t>
  </si>
  <si>
    <t>通电</t>
  </si>
  <si>
    <t>通讯</t>
  </si>
  <si>
    <t>通上水</t>
  </si>
  <si>
    <t>通下水</t>
  </si>
  <si>
    <t>平整</t>
  </si>
  <si>
    <t>与级别开发程度不一致</t>
  </si>
  <si>
    <t>未包含在土地购买价格中</t>
  </si>
  <si>
    <t>已包含在土地取得成本中</t>
  </si>
  <si>
    <t>钢混</t>
  </si>
  <si>
    <t>非生产用房</t>
  </si>
  <si>
    <t>是</t>
  </si>
  <si>
    <t>收益法</t>
  </si>
  <si>
    <t>正常</t>
    <phoneticPr fontId="26" type="noConversion"/>
  </si>
  <si>
    <t>办公</t>
  </si>
  <si>
    <t>正常</t>
    <phoneticPr fontId="26" type="noConversion"/>
  </si>
  <si>
    <t>低区</t>
    <phoneticPr fontId="26" type="noConversion"/>
  </si>
  <si>
    <t>高区</t>
    <phoneticPr fontId="26" type="noConversion"/>
  </si>
  <si>
    <t>中区</t>
    <phoneticPr fontId="26" type="noConversion"/>
  </si>
  <si>
    <t>比较法-办公</t>
  </si>
  <si>
    <t>金利安</t>
    <phoneticPr fontId="8" type="noConversion"/>
  </si>
  <si>
    <t>二手市场</t>
    <phoneticPr fontId="146" type="noConversion"/>
  </si>
  <si>
    <t>租金</t>
    <phoneticPr fontId="146" type="noConversion"/>
  </si>
  <si>
    <t>4左右</t>
    <phoneticPr fontId="146" type="noConversion"/>
  </si>
  <si>
    <t>仅计算典型户型</t>
  </si>
  <si>
    <t>高区</t>
    <phoneticPr fontId="20" type="noConversion"/>
  </si>
  <si>
    <t>中区</t>
    <phoneticPr fontId="20" type="noConversion"/>
  </si>
  <si>
    <t>低区</t>
    <phoneticPr fontId="20" type="noConversion"/>
  </si>
  <si>
    <t>高区</t>
    <phoneticPr fontId="20" type="noConversion"/>
  </si>
  <si>
    <t>高区</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</si>
</sst>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49" fontId="135" fillId="2" borderId="9" xfId="0" applyNumberFormat="1" applyFont="1" applyFill="1" applyBorder="1" applyAlignment="1" applyProtection="1">
      <alignment horizontal="center" vertical="center" wrapText="1"/>
      <protection locked="0"/>
    </xf>
    <xf numFmtId="49" fontId="135" fillId="2" borderId="9"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184" fontId="56" fillId="15" borderId="1" xfId="0" applyNumberFormat="1" applyFont="1" applyFill="1" applyBorder="1" applyAlignment="1" applyProtection="1">
      <alignment horizontal="left" vertical="center" shrinkToFit="1"/>
      <protection locked="0"/>
    </xf>
    <xf numFmtId="10" fontId="39" fillId="15" borderId="58"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12</xdr:col>
      <xdr:colOff>361951</xdr:colOff>
      <xdr:row>40</xdr:row>
      <xdr:rowOff>108123</xdr:rowOff>
    </xdr:to>
    <xdr:pic>
      <xdr:nvPicPr>
        <xdr:cNvPr id="2" name="图片 1"/>
        <xdr:cNvPicPr>
          <a:picLocks noChangeAspect="1"/>
        </xdr:cNvPicPr>
      </xdr:nvPicPr>
      <xdr:blipFill>
        <a:blip xmlns:r="http://schemas.openxmlformats.org/officeDocument/2006/relationships" r:embed="rId1"/>
        <a:stretch>
          <a:fillRect/>
        </a:stretch>
      </xdr:blipFill>
      <xdr:spPr>
        <a:xfrm>
          <a:off x="1" y="1"/>
          <a:ext cx="8591550" cy="6966122"/>
        </a:xfrm>
        <a:prstGeom prst="rect">
          <a:avLst/>
        </a:prstGeom>
      </xdr:spPr>
    </xdr:pic>
    <xdr:clientData/>
  </xdr:twoCellAnchor>
  <xdr:twoCellAnchor editAs="oneCell">
    <xdr:from>
      <xdr:col>0</xdr:col>
      <xdr:colOff>0</xdr:colOff>
      <xdr:row>41</xdr:row>
      <xdr:rowOff>0</xdr:rowOff>
    </xdr:from>
    <xdr:to>
      <xdr:col>12</xdr:col>
      <xdr:colOff>390525</xdr:colOff>
      <xdr:row>82</xdr:row>
      <xdr:rowOff>20309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7029450"/>
          <a:ext cx="8620125" cy="7049759"/>
        </a:xfrm>
        <a:prstGeom prst="rect">
          <a:avLst/>
        </a:prstGeom>
      </xdr:spPr>
    </xdr:pic>
    <xdr:clientData/>
  </xdr:twoCellAnchor>
  <xdr:twoCellAnchor editAs="oneCell">
    <xdr:from>
      <xdr:col>0</xdr:col>
      <xdr:colOff>0</xdr:colOff>
      <xdr:row>82</xdr:row>
      <xdr:rowOff>0</xdr:rowOff>
    </xdr:from>
    <xdr:to>
      <xdr:col>12</xdr:col>
      <xdr:colOff>190500</xdr:colOff>
      <xdr:row>122</xdr:row>
      <xdr:rowOff>32651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4058900"/>
          <a:ext cx="8420100" cy="68906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6" customWidth="1"/>
    <col min="2" max="2" width="94.875" style="1172" customWidth="1"/>
    <col min="3" max="16384" width="9" style="1182"/>
  </cols>
  <sheetData>
    <row r="1" spans="1:2" s="1177" customFormat="1" ht="16.5" thickBot="1">
      <c r="A1" s="1175" t="s">
        <v>1038</v>
      </c>
      <c r="B1" s="1176" t="s">
        <v>1100</v>
      </c>
    </row>
    <row r="2" spans="1:2" s="1179" customFormat="1" ht="15.75" thickTop="1">
      <c r="A2" s="1178" t="s">
        <v>1039</v>
      </c>
      <c r="B2" s="1164" t="str">
        <f>'预评函-封皮'!B9</f>
        <v>北京市房地产抵押价值预评估</v>
      </c>
    </row>
    <row r="3" spans="1:2" s="1179" customFormat="1">
      <c r="A3" s="1180" t="s">
        <v>1040</v>
      </c>
      <c r="B3" s="1165" t="str">
        <f>'预评函-封皮'!B12</f>
        <v>xx</v>
      </c>
    </row>
    <row r="4" spans="1:2" s="1179" customFormat="1">
      <c r="A4" s="1180" t="s">
        <v>1041</v>
      </c>
      <c r="B4" s="1165" t="str">
        <f>'预评函-封皮'!B18</f>
        <v>（注册号:0）、（注册号:0)</v>
      </c>
    </row>
    <row r="5" spans="1:2" s="1177" customFormat="1" ht="15.75" thickBot="1">
      <c r="A5" s="1181" t="s">
        <v>1042</v>
      </c>
      <c r="B5" s="1166" t="str">
        <f>'预评函-封皮'!B21</f>
        <v>康正预评字号</v>
      </c>
    </row>
    <row r="6" spans="1:2" s="1179" customFormat="1" ht="15.75" thickTop="1">
      <c r="A6" s="1180" t="s">
        <v>1043</v>
      </c>
      <c r="B6" s="1164" t="str">
        <f>'预评函-1'!A4</f>
        <v>受您的委托，我公司对北京市房地产进行了预评估。</v>
      </c>
    </row>
    <row r="7" spans="1:2">
      <c r="A7" s="1180" t="s">
        <v>1044</v>
      </c>
      <c r="B7" s="1167" t="str">
        <f>'预评函-1'!A6</f>
        <v>估价对象为北京市房地产，为XX所有。根据《》[]，估价对象建筑面积为393.43平方米。根据《》[]，估价对象（分摊）出让国有建设用地使用权面积为平方米。估价对象用途为。</v>
      </c>
    </row>
    <row r="8" spans="1:2">
      <c r="A8" s="1180" t="s">
        <v>1045</v>
      </c>
      <c r="B8" s="116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0" t="s">
        <v>1046</v>
      </c>
      <c r="B9" s="1167" t="str">
        <f>'预评函-1'!A10</f>
        <v>2021年12月31日</v>
      </c>
    </row>
    <row r="10" spans="1:2">
      <c r="A10" s="1180" t="s">
        <v>1047</v>
      </c>
      <c r="B10" s="1167" t="str">
        <f>'预评函-1'!A13</f>
        <v>本次估价的“房地产价值”是指在正常市场情况下，在价值时点2021年12月31日，估价对象规划用途为，假定未设立法定优先受偿款下的房地产市场价值。</v>
      </c>
    </row>
    <row r="11" spans="1:2">
      <c r="A11" s="1180" t="s">
        <v>1048</v>
      </c>
      <c r="B11" s="1167"/>
    </row>
    <row r="12" spans="1:2">
      <c r="A12" s="1180" t="s">
        <v>1049</v>
      </c>
      <c r="B12" s="1167" t="str">
        <f>'预评函-1'!A14</f>
        <v>本次估价的“房地产抵押价值”是指估价对象在价值时点的“房地产价值”扣减估价师于价值时点所知悉的法定优先受偿款后的余额。</v>
      </c>
    </row>
    <row r="13" spans="1:2">
      <c r="A13" s="1180" t="s">
        <v>1050</v>
      </c>
      <c r="B13" s="116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0" t="s">
        <v>1051</v>
      </c>
      <c r="B14" s="116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7" customFormat="1" ht="15.75" thickBot="1">
      <c r="A15" s="1181" t="s">
        <v>1052</v>
      </c>
      <c r="B15" s="1168" t="str">
        <f>'预评函-1'!A18</f>
        <v>本次评估采用的主估价方法为比较法和收益法。</v>
      </c>
    </row>
    <row r="16" spans="1:2" ht="15.75" thickTop="1">
      <c r="A16" s="1178" t="s">
        <v>1053</v>
      </c>
      <c r="B16" s="116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0" t="s">
        <v>1054</v>
      </c>
      <c r="B17" s="1167" t="str">
        <f>'预评函-2（1）'!B6</f>
        <v>北京市房地产</v>
      </c>
    </row>
    <row r="18" spans="1:2">
      <c r="A18" s="1180" t="s">
        <v>1055</v>
      </c>
      <c r="B18" s="1167">
        <f>'预评函-2（1）'!C6</f>
        <v>393.43</v>
      </c>
    </row>
    <row r="19" spans="1:2">
      <c r="A19" s="1180" t="s">
        <v>1056</v>
      </c>
      <c r="B19" s="1167">
        <f ca="1">'预评函-2（1）'!D7</f>
        <v>1082</v>
      </c>
    </row>
    <row r="20" spans="1:2">
      <c r="A20" s="1180" t="s">
        <v>1094</v>
      </c>
      <c r="B20" s="1167" t="str">
        <f>'预评函-2（1）'!C7</f>
        <v>总价（万元）</v>
      </c>
    </row>
    <row r="21" spans="1:2">
      <c r="A21" s="1180" t="s">
        <v>1057</v>
      </c>
      <c r="B21" s="1167">
        <f ca="1">'预评函-2（1）'!D9</f>
        <v>27502</v>
      </c>
    </row>
    <row r="22" spans="1:2">
      <c r="A22" s="1180" t="s">
        <v>1058</v>
      </c>
      <c r="B22" s="1167" t="str">
        <f ca="1">'预评函-2（1）'!D8</f>
        <v>壹仟零捌拾贰万元整</v>
      </c>
    </row>
    <row r="23" spans="1:2">
      <c r="A23" s="1180" t="s">
        <v>1095</v>
      </c>
      <c r="B23" s="1167">
        <f>'预评函-2（1）'!D10</f>
        <v>0</v>
      </c>
    </row>
    <row r="24" spans="1:2">
      <c r="A24" s="1180" t="s">
        <v>1096</v>
      </c>
      <c r="B24" s="1167" t="str">
        <f>'预评函-2（1）'!C10</f>
        <v>总额（万元）</v>
      </c>
    </row>
    <row r="25" spans="1:2">
      <c r="A25" s="1180" t="s">
        <v>1059</v>
      </c>
      <c r="B25" s="1167" t="str">
        <f>'预评函-2（1）'!D11</f>
        <v>零元整</v>
      </c>
    </row>
    <row r="26" spans="1:2">
      <c r="A26" s="1180" t="s">
        <v>1060</v>
      </c>
      <c r="B26" s="1167">
        <f>'预评函-2（1）'!D12</f>
        <v>0</v>
      </c>
    </row>
    <row r="27" spans="1:2">
      <c r="A27" s="1180" t="s">
        <v>1061</v>
      </c>
      <c r="B27" s="1167">
        <f>'预评函-2（1）'!D13</f>
        <v>0</v>
      </c>
    </row>
    <row r="28" spans="1:2">
      <c r="A28" s="1180" t="s">
        <v>1062</v>
      </c>
      <c r="B28" s="1167">
        <f>'预评函-2（1）'!D14</f>
        <v>0</v>
      </c>
    </row>
    <row r="29" spans="1:2">
      <c r="A29" s="1180" t="s">
        <v>1063</v>
      </c>
      <c r="B29" s="1167">
        <f ca="1">'预评函-2（1）'!D15</f>
        <v>1082</v>
      </c>
    </row>
    <row r="30" spans="1:2">
      <c r="A30" s="1180" t="s">
        <v>1064</v>
      </c>
      <c r="B30" s="1167" t="str">
        <f ca="1">'预评函-2（1）'!D16</f>
        <v>壹仟零捌拾贰万元整</v>
      </c>
    </row>
    <row r="31" spans="1:2">
      <c r="A31" s="1180" t="s">
        <v>1065</v>
      </c>
      <c r="B31" s="1167" t="str">
        <f>'预评函-2（1）'!D18</f>
        <v>——</v>
      </c>
    </row>
    <row r="32" spans="1:2">
      <c r="A32" s="1180" t="s">
        <v>1066</v>
      </c>
      <c r="B32" s="1167" t="e">
        <f>'预评函-2（1）'!D19</f>
        <v>#VALUE!</v>
      </c>
    </row>
    <row r="33" spans="1:2">
      <c r="A33" s="1180" t="s">
        <v>1067</v>
      </c>
      <c r="B33" s="1167" t="str">
        <f>'预评函-2（1）'!D21</f>
        <v>——</v>
      </c>
    </row>
    <row r="34" spans="1:2">
      <c r="A34" s="1180" t="s">
        <v>1068</v>
      </c>
      <c r="B34" s="1167" t="str">
        <f ca="1">'预评函-2（1）'!D23</f>
        <v>——</v>
      </c>
    </row>
    <row r="35" spans="1:2">
      <c r="A35" s="1180" t="s">
        <v>1069</v>
      </c>
      <c r="B35" s="1167" t="e">
        <f>'预评函-2（1）'!D22</f>
        <v>#VALUE!</v>
      </c>
    </row>
    <row r="36" spans="1:2">
      <c r="A36" s="1180" t="s">
        <v>1070</v>
      </c>
      <c r="B36" s="1167">
        <f>'预评函-2（2）'!C4</f>
        <v>0</v>
      </c>
    </row>
    <row r="37" spans="1:2">
      <c r="A37" s="1180" t="s">
        <v>1071</v>
      </c>
      <c r="B37" s="1167">
        <f>'预评函-2（2）'!D4</f>
        <v>0</v>
      </c>
    </row>
    <row r="38" spans="1:2">
      <c r="A38" s="1180" t="s">
        <v>1072</v>
      </c>
      <c r="B38" s="1167">
        <f>'预评函-2（2）'!E4</f>
        <v>0</v>
      </c>
    </row>
    <row r="39" spans="1:2">
      <c r="A39" s="1180" t="s">
        <v>1073</v>
      </c>
      <c r="B39" s="1167" t="str">
        <f>'预评函-2（2）'!D5</f>
        <v>零元整</v>
      </c>
    </row>
    <row r="40" spans="1:2">
      <c r="A40" s="1180" t="s">
        <v>1074</v>
      </c>
      <c r="B40" s="1167">
        <f>'预评函-2（2）'!F4</f>
        <v>0</v>
      </c>
    </row>
    <row r="41" spans="1:2">
      <c r="A41" s="1180" t="s">
        <v>1075</v>
      </c>
      <c r="B41" s="1167">
        <f>'预评函-2（2）'!G4</f>
        <v>0</v>
      </c>
    </row>
    <row r="42" spans="1:2" s="1177" customFormat="1" ht="15.75" thickBot="1">
      <c r="A42" s="1181" t="s">
        <v>1076</v>
      </c>
      <c r="B42" s="1169" t="str">
        <f>'预评函-2（2）'!F5</f>
        <v>零元整</v>
      </c>
    </row>
    <row r="43" spans="1:2" ht="15.75" thickTop="1">
      <c r="A43" s="1178" t="s">
        <v>1077</v>
      </c>
      <c r="B43" s="1170" t="str">
        <f>'预评函-3'!A13</f>
        <v>2.本《评估意见函》仅供金融机构进行内部审核使用，不做其他目的之用。</v>
      </c>
    </row>
    <row r="44" spans="1:2">
      <c r="A44" s="1180" t="s">
        <v>1078</v>
      </c>
      <c r="B44" s="1167" t="str">
        <f>'预评函-3'!A14</f>
        <v>3.抵押双方在办理抵押登记手续时，应使用本公司出具的正式《不动产估价报告书》，特提醒报告使用者注意。</v>
      </c>
    </row>
    <row r="45" spans="1:2">
      <c r="A45" s="1180" t="s">
        <v>1079</v>
      </c>
      <c r="B45" s="1167" t="str">
        <f>'预评函-3'!A15</f>
        <v>4.本次评估估价师所知悉的法定优先受偿款情况说明如下：</v>
      </c>
    </row>
    <row r="46" spans="1:2">
      <c r="A46" s="1180" t="s">
        <v>1080</v>
      </c>
      <c r="B46" s="116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0" t="s">
        <v>1081</v>
      </c>
      <c r="B47" s="116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0" t="s">
        <v>1092</v>
      </c>
      <c r="B48" s="1167" t="str">
        <f>'预评函-3'!A18</f>
        <v>本次评估不存在估价师所知悉的法定优先受偿款。</v>
      </c>
    </row>
    <row r="49" spans="1:2">
      <c r="A49" s="1180" t="s">
        <v>1082</v>
      </c>
      <c r="B49" s="116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0" t="s">
        <v>1083</v>
      </c>
      <c r="B50" s="1167" t="str">
        <f>'预评函-3'!A20</f>
        <v>6.其他需特殊说明事项：（没有时删除此项；注意修改序号）</v>
      </c>
    </row>
    <row r="51" spans="1:2" s="1177" customFormat="1" thickBot="1">
      <c r="A51" s="1181" t="s">
        <v>1084</v>
      </c>
      <c r="B51" s="1174">
        <f>'预评函-3'!D29</f>
        <v>42551</v>
      </c>
    </row>
    <row r="52" spans="1:2" ht="15.75" thickTop="1">
      <c r="A52" s="1178" t="s">
        <v>1085</v>
      </c>
      <c r="B52" s="1173">
        <f>'预评函-3'!A4</f>
        <v>0</v>
      </c>
    </row>
    <row r="53" spans="1:2">
      <c r="A53" s="1180" t="s">
        <v>1086</v>
      </c>
      <c r="B53" s="1167">
        <f>'预评函-3'!B4</f>
        <v>0</v>
      </c>
    </row>
    <row r="54" spans="1:2">
      <c r="A54" s="1180" t="s">
        <v>1087</v>
      </c>
      <c r="B54" s="1171">
        <f>'预评函-3'!A5</f>
        <v>0</v>
      </c>
    </row>
    <row r="55" spans="1:2" s="1177" customFormat="1" ht="15.75" thickBot="1">
      <c r="A55" s="1181" t="s">
        <v>1088</v>
      </c>
      <c r="B55" s="1169">
        <f>'预评函-3'!B5</f>
        <v>0</v>
      </c>
    </row>
    <row r="56" spans="1:2" ht="15.75" thickTop="1">
      <c r="A56" s="1183" t="s">
        <v>1097</v>
      </c>
      <c r="B56" s="1167" t="str">
        <f>'预评函-2（1）'!B15</f>
        <v>3.房地产抵押价值</v>
      </c>
    </row>
    <row r="57" spans="1:2">
      <c r="A57" s="1183" t="s">
        <v>1098</v>
      </c>
      <c r="B57" s="1167" t="str">
        <f>'预评函-2（1）'!B18</f>
        <v>——</v>
      </c>
    </row>
    <row r="58" spans="1:2" s="1177" customFormat="1" ht="15.75" thickBot="1">
      <c r="A58" s="1184" t="s">
        <v>1099</v>
      </c>
      <c r="B58" s="1168" t="str">
        <f>'预评函-2（1）'!B21</f>
        <v>——</v>
      </c>
    </row>
    <row r="59" spans="1:2" ht="15.75" thickTop="1">
      <c r="A59" s="1185" t="s">
        <v>1101</v>
      </c>
      <c r="B59" s="1165" t="str">
        <f>'预评函-2（1）'!B45</f>
        <v>单位：万元、元/平方米（单位：人民币）</v>
      </c>
    </row>
    <row r="60" spans="1:2">
      <c r="A60" s="1183" t="s">
        <v>1102</v>
      </c>
      <c r="B60" s="1167" t="str">
        <f>'预评函-2（2）'!D2</f>
        <v>出让国有建设用地使用权价值</v>
      </c>
    </row>
    <row r="61" spans="1:2" s="1179" customFormat="1">
      <c r="A61" s="1183" t="s">
        <v>1103</v>
      </c>
      <c r="B61" s="1167" t="str">
        <f>'预评函-2（2）'!A14</f>
        <v>单位：平方米、万元、元/平方米（币种：人民币）</v>
      </c>
    </row>
    <row r="62" spans="1:2" ht="28.5">
      <c r="A62" s="1183" t="s">
        <v>1187</v>
      </c>
      <c r="B62" s="1167">
        <f ca="1">'预评函-2（1）'!D38</f>
        <v>27502</v>
      </c>
    </row>
    <row r="63" spans="1:2" s="1179" customFormat="1" ht="28.5">
      <c r="A63" s="1183" t="s">
        <v>1188</v>
      </c>
      <c r="B63" s="1167" t="str">
        <f>'预评函-2（1）'!D41</f>
        <v>——</v>
      </c>
    </row>
    <row r="64" spans="1:2">
      <c r="A64" s="1183" t="s">
        <v>1111</v>
      </c>
      <c r="B64" s="1167" t="str">
        <f>'预评函-2（2）'!A6</f>
        <v>估价师所知悉的法定优先受偿款</v>
      </c>
    </row>
    <row r="65" spans="1:2">
      <c r="A65" s="1183" t="s">
        <v>1112</v>
      </c>
      <c r="B65" s="1167" t="str">
        <f>'预评函-2（2）'!A8</f>
        <v>房地产抵押价值</v>
      </c>
    </row>
    <row r="66" spans="1:2">
      <c r="A66" s="1183" t="s">
        <v>1113</v>
      </c>
      <c r="B66" s="1167" t="str">
        <f>'预评函-2（2）'!A10</f>
        <v/>
      </c>
    </row>
    <row r="67" spans="1:2" s="1177" customFormat="1" ht="15.75" thickBot="1">
      <c r="A67" s="1184" t="s">
        <v>1114</v>
      </c>
      <c r="B67" s="1168" t="str">
        <f>'预评函-2（2）'!A12</f>
        <v/>
      </c>
    </row>
    <row r="68" spans="1:2" ht="15.75" thickTop="1">
      <c r="A68" s="1186" t="s">
        <v>1115</v>
      </c>
      <c r="B68" s="1172" t="str">
        <f>'预评函-3'!A9</f>
        <v>XX</v>
      </c>
    </row>
    <row r="69" spans="1:2">
      <c r="A69" s="1180" t="s">
        <v>1186</v>
      </c>
    </row>
    <row r="70" spans="1:2">
      <c r="A70" s="1180"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59" t="s">
        <v>1471</v>
      </c>
      <c r="B1" s="2560" t="str">
        <f>IF(B6="北京市","北京市",C6)&amp;IF(E12="房屋所有权证",B29,E29)&amp;D5&amp;"预评估"</f>
        <v>北京市房地产抵押价值预评估</v>
      </c>
      <c r="C1" s="823"/>
      <c r="D1" s="823"/>
      <c r="E1" s="823"/>
      <c r="F1" s="1395" t="s">
        <v>1472</v>
      </c>
      <c r="G1" s="1161"/>
      <c r="I1" s="2886" t="str">
        <f>IF(B6="北京市","北京市",C6)&amp;IF(E12="房屋所有权证",B29,E29)&amp;"房地产"</f>
        <v>北京市房地产</v>
      </c>
      <c r="J1" s="800"/>
      <c r="K1" s="2888"/>
      <c r="L1" s="2888"/>
      <c r="M1" s="2888"/>
      <c r="N1" s="800"/>
      <c r="O1" s="800"/>
      <c r="P1" s="800"/>
      <c r="Q1" s="800"/>
    </row>
    <row r="2" spans="1:17" ht="13.5" thickTop="1">
      <c r="A2" s="1396" t="s">
        <v>1473</v>
      </c>
      <c r="B2" s="2561"/>
      <c r="C2" s="2858" t="s">
        <v>1474</v>
      </c>
      <c r="D2" s="2561">
        <v>44561</v>
      </c>
      <c r="E2" s="824"/>
      <c r="F2" s="824"/>
      <c r="G2" s="1162"/>
      <c r="H2" s="2870"/>
    </row>
    <row r="3" spans="1:17" ht="13.5" thickBot="1">
      <c r="A3" s="2562" t="s">
        <v>1475</v>
      </c>
      <c r="B3" s="2563"/>
      <c r="C3" s="2564">
        <f>SUMIF(注册房地产估价师,B3,估价师及机构信息!B3:B16)</f>
        <v>0</v>
      </c>
      <c r="D3" s="2563"/>
      <c r="E3" s="2565">
        <f>SUMIF(注册房地产估价师,D3,估价师及机构信息!B3:B16)</f>
        <v>0</v>
      </c>
      <c r="F3" s="825"/>
      <c r="G3" s="1163"/>
      <c r="H3" s="2870"/>
    </row>
    <row r="4" spans="1:17" ht="13.5" customHeight="1" thickTop="1">
      <c r="A4" s="1396" t="s">
        <v>1476</v>
      </c>
      <c r="B4" s="1397" t="s">
        <v>2663</v>
      </c>
      <c r="C4" s="2859" t="s">
        <v>1477</v>
      </c>
      <c r="D4" s="1398" t="s">
        <v>2985</v>
      </c>
      <c r="E4" s="824"/>
      <c r="F4" s="824"/>
      <c r="G4" s="1162"/>
    </row>
    <row r="5" spans="1:17">
      <c r="A5" s="1399" t="s">
        <v>1478</v>
      </c>
      <c r="B5" s="1400" t="s">
        <v>2664</v>
      </c>
      <c r="C5" s="2860" t="s">
        <v>1479</v>
      </c>
      <c r="D5" s="1402" t="s">
        <v>2983</v>
      </c>
      <c r="E5" s="2861" t="s">
        <v>1480</v>
      </c>
      <c r="F5" s="1402" t="s">
        <v>2983</v>
      </c>
      <c r="G5" s="1403"/>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c r="A6" s="2862" t="s">
        <v>1481</v>
      </c>
      <c r="B6" s="2566" t="s">
        <v>2981</v>
      </c>
      <c r="C6" s="2567" t="s">
        <v>2665</v>
      </c>
      <c r="D6" s="2568" t="s">
        <v>1482</v>
      </c>
      <c r="E6" s="811"/>
      <c r="F6" s="811"/>
      <c r="G6" s="830"/>
      <c r="I6" s="800" t="str">
        <f>IF(COUNTIF(B5,"*上海银行*"),"上海银行","")</f>
        <v/>
      </c>
      <c r="J6" s="800"/>
      <c r="K6" s="2888"/>
      <c r="L6" s="2888"/>
      <c r="M6" s="2888"/>
      <c r="N6" s="800"/>
      <c r="O6" s="800"/>
      <c r="P6" s="800"/>
      <c r="Q6" s="800"/>
    </row>
    <row r="7" spans="1:17" ht="13.5" thickBot="1">
      <c r="A7" s="2863" t="s">
        <v>1483</v>
      </c>
      <c r="B7" s="2569" t="s">
        <v>2982</v>
      </c>
      <c r="C7" s="1494" t="str">
        <f>IF(B7="自然人","姓名","名称")</f>
        <v>名称</v>
      </c>
      <c r="D7" s="1407" t="s">
        <v>2664</v>
      </c>
      <c r="E7" s="825"/>
      <c r="F7" s="825"/>
      <c r="G7" s="1163"/>
    </row>
    <row r="8" spans="1:17" ht="13.5" thickTop="1">
      <c r="A8" s="3375" t="s">
        <v>1484</v>
      </c>
      <c r="B8" s="1408" t="s">
        <v>1485</v>
      </c>
      <c r="C8" s="3388"/>
      <c r="D8" s="3389"/>
      <c r="E8" s="2570" t="s">
        <v>1486</v>
      </c>
      <c r="F8" s="2571" t="s">
        <v>1487</v>
      </c>
      <c r="G8" s="2572" t="str">
        <f>C6</f>
        <v>XX</v>
      </c>
    </row>
    <row r="9" spans="1:17" ht="25.5">
      <c r="A9" s="3375"/>
      <c r="B9" s="259" t="s">
        <v>1488</v>
      </c>
      <c r="C9" s="1400"/>
      <c r="D9" s="1409" t="s">
        <v>2984</v>
      </c>
      <c r="E9" s="2864" t="s">
        <v>1489</v>
      </c>
      <c r="F9" s="2573"/>
      <c r="G9" s="2574"/>
    </row>
    <row r="10" spans="1:17" ht="13.5" thickBot="1">
      <c r="A10" s="3375"/>
      <c r="B10" s="259" t="s">
        <v>1490</v>
      </c>
      <c r="C10" s="3390"/>
      <c r="D10" s="3391"/>
      <c r="E10" s="2865" t="s">
        <v>1491</v>
      </c>
      <c r="F10" s="2575"/>
      <c r="G10" s="2576"/>
    </row>
    <row r="11" spans="1:17" ht="13.5" thickBot="1">
      <c r="A11" s="3375"/>
      <c r="B11" s="1411" t="s">
        <v>1492</v>
      </c>
      <c r="C11" s="3392"/>
      <c r="D11" s="3393"/>
      <c r="E11" s="811"/>
      <c r="F11" s="811"/>
      <c r="G11" s="830"/>
    </row>
    <row r="12" spans="1:17" ht="13.5" thickBot="1">
      <c r="A12" s="3379" t="s">
        <v>2772</v>
      </c>
      <c r="B12" s="2866" t="s">
        <v>1493</v>
      </c>
      <c r="C12" s="808">
        <f>125.51+114.18+153.74</f>
        <v>393.43</v>
      </c>
      <c r="D12" s="1412" t="s">
        <v>1494</v>
      </c>
      <c r="E12" s="1413"/>
      <c r="F12" s="1414"/>
      <c r="G12" s="830"/>
    </row>
    <row r="13" spans="1:17" ht="21" customHeight="1" thickBot="1">
      <c r="A13" s="3380"/>
      <c r="B13" s="2867" t="s">
        <v>1495</v>
      </c>
      <c r="C13" s="809"/>
      <c r="D13" s="1415" t="s">
        <v>1496</v>
      </c>
      <c r="E13" s="1416"/>
      <c r="F13" s="811"/>
      <c r="G13" s="830"/>
      <c r="I13" s="3398" t="s">
        <v>1497</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800"/>
      <c r="O13" s="800"/>
      <c r="P13" s="800"/>
      <c r="Q13" s="800"/>
    </row>
    <row r="14" spans="1:17" ht="13.5" thickBot="1">
      <c r="A14" s="2577"/>
      <c r="B14" s="2881" t="s">
        <v>2773</v>
      </c>
      <c r="C14" s="2578"/>
      <c r="D14" s="811"/>
      <c r="E14" s="811"/>
      <c r="F14" s="811"/>
      <c r="G14" s="830"/>
      <c r="I14" s="3398"/>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79"/>
      <c r="B15" s="2868" t="s">
        <v>1498</v>
      </c>
      <c r="C15" s="826"/>
      <c r="D15" s="825"/>
      <c r="E15" s="825"/>
      <c r="F15" s="825"/>
      <c r="G15" s="1163"/>
      <c r="I15" s="3398"/>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7" t="s">
        <v>1499</v>
      </c>
      <c r="B16" s="1417" t="s">
        <v>1500</v>
      </c>
      <c r="C16" s="2580"/>
      <c r="D16" s="1410" t="s">
        <v>1501</v>
      </c>
      <c r="E16" s="2581"/>
      <c r="F16" s="1418" t="str">
        <f>IF(AND(C16="是",E16="否"),"是否提供他项权证或相关说明","")</f>
        <v/>
      </c>
      <c r="G16" s="2581"/>
      <c r="J16" s="2870"/>
    </row>
    <row r="17" spans="1:66" ht="13.5" customHeight="1">
      <c r="A17" s="1424" t="s">
        <v>1502</v>
      </c>
      <c r="B17" s="3394" t="s">
        <v>1503</v>
      </c>
      <c r="C17" s="3395"/>
      <c r="D17" s="3396" t="s">
        <v>1504</v>
      </c>
      <c r="E17" s="3397"/>
      <c r="F17" s="1419" t="s">
        <v>1505</v>
      </c>
      <c r="G17" s="1420"/>
      <c r="J17" s="2870"/>
    </row>
    <row r="18" spans="1:66" ht="24">
      <c r="A18" s="1424"/>
      <c r="B18" s="2582"/>
      <c r="C18" s="1403"/>
      <c r="D18" s="1421" t="s">
        <v>1506</v>
      </c>
      <c r="E18" s="1422"/>
      <c r="F18" s="1423"/>
      <c r="G18" s="1286"/>
      <c r="H18" s="2870"/>
      <c r="J18" s="2870"/>
    </row>
    <row r="19" spans="1:66" ht="21.75" customHeight="1" thickBot="1">
      <c r="A19" s="1424"/>
      <c r="B19" s="2583"/>
      <c r="C19" s="1416"/>
      <c r="D19" s="1424"/>
      <c r="E19" s="811"/>
      <c r="F19" s="811"/>
      <c r="G19" s="1286"/>
    </row>
    <row r="20" spans="1:66">
      <c r="A20" s="1420" t="s">
        <v>1507</v>
      </c>
      <c r="B20" s="2584" t="s">
        <v>1508</v>
      </c>
      <c r="C20" s="2585"/>
      <c r="D20" s="2586" t="s">
        <v>1508</v>
      </c>
      <c r="E20" s="2585"/>
      <c r="F20" s="811"/>
      <c r="G20" s="1286"/>
    </row>
    <row r="21" spans="1:66">
      <c r="A21" s="1286"/>
      <c r="B21" s="2587" t="s">
        <v>1509</v>
      </c>
      <c r="C21" s="2853"/>
      <c r="D21" s="1424" t="s">
        <v>1509</v>
      </c>
      <c r="E21" s="2588"/>
      <c r="F21" s="811"/>
      <c r="G21" s="1286"/>
    </row>
    <row r="22" spans="1:66">
      <c r="A22" s="1286"/>
      <c r="B22" s="811" t="s">
        <v>1510</v>
      </c>
      <c r="C22" s="2589"/>
      <c r="D22" s="811" t="s">
        <v>1510</v>
      </c>
      <c r="E22" s="2588"/>
      <c r="F22" s="811"/>
      <c r="G22" s="1286"/>
    </row>
    <row r="23" spans="1:66" s="2852" customFormat="1" ht="16.5" thickBot="1">
      <c r="A23" s="1287"/>
      <c r="B23" s="829" t="s">
        <v>1511</v>
      </c>
      <c r="C23" s="809"/>
      <c r="D23" s="829" t="s">
        <v>1512</v>
      </c>
      <c r="E23" s="2590"/>
      <c r="F23" s="829"/>
      <c r="G23" s="1287"/>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07" t="s">
        <v>2771</v>
      </c>
      <c r="B24" s="3407"/>
      <c r="C24" s="3407"/>
      <c r="D24" s="3407"/>
      <c r="E24" s="3407"/>
      <c r="F24" s="3407"/>
      <c r="G24" s="3407"/>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1513</v>
      </c>
      <c r="B25" s="811"/>
      <c r="C25" s="811"/>
      <c r="D25" s="811"/>
      <c r="E25" s="811"/>
      <c r="F25" s="811"/>
      <c r="G25" s="1287"/>
      <c r="K25" s="2871"/>
    </row>
    <row r="26" spans="1:66" s="836" customFormat="1" ht="13.5" thickBot="1">
      <c r="A26" s="2591"/>
      <c r="B26" s="807" t="s">
        <v>1514</v>
      </c>
      <c r="C26" s="2591"/>
      <c r="D26" s="807"/>
      <c r="E26" s="2592" t="s">
        <v>1515</v>
      </c>
      <c r="F26" s="2591"/>
      <c r="G26" s="2593" t="s">
        <v>1516</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91"/>
      <c r="B27" s="2594"/>
      <c r="C27" s="2591"/>
      <c r="D27" s="807"/>
      <c r="E27" s="2594"/>
      <c r="F27" s="2591"/>
      <c r="G27" s="2595"/>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1517</v>
      </c>
      <c r="B28" s="801"/>
      <c r="C28" s="3382" t="s">
        <v>1517</v>
      </c>
      <c r="D28" s="3383"/>
      <c r="E28" s="801"/>
      <c r="F28" s="803" t="s">
        <v>1517</v>
      </c>
      <c r="G28" s="801"/>
      <c r="K28" s="2871"/>
    </row>
    <row r="29" spans="1:66">
      <c r="A29" s="804" t="s">
        <v>1518</v>
      </c>
      <c r="B29" s="798"/>
      <c r="C29" s="3384" t="s">
        <v>1519</v>
      </c>
      <c r="D29" s="3385"/>
      <c r="E29" s="798"/>
      <c r="F29" s="804" t="s">
        <v>1519</v>
      </c>
      <c r="G29" s="798"/>
      <c r="K29" s="2871"/>
    </row>
    <row r="30" spans="1:66">
      <c r="A30" s="804" t="s">
        <v>1520</v>
      </c>
      <c r="B30" s="798"/>
      <c r="C30" s="3384" t="s">
        <v>1520</v>
      </c>
      <c r="D30" s="3385"/>
      <c r="E30" s="798"/>
      <c r="F30" s="804" t="s">
        <v>1521</v>
      </c>
      <c r="G30" s="798"/>
      <c r="K30" s="2871"/>
    </row>
    <row r="31" spans="1:66">
      <c r="A31" s="804" t="s">
        <v>1522</v>
      </c>
      <c r="B31" s="798"/>
      <c r="C31" s="3404" t="s">
        <v>1523</v>
      </c>
      <c r="D31" s="811"/>
      <c r="E31" s="2596" t="str">
        <f>E32&amp;" "&amp;E33&amp;" "&amp;E34&amp;" "&amp;E35</f>
        <v xml:space="preserve">   </v>
      </c>
      <c r="F31" s="804" t="s">
        <v>1524</v>
      </c>
      <c r="G31" s="798"/>
    </row>
    <row r="32" spans="1:66">
      <c r="A32" s="804" t="s">
        <v>1525</v>
      </c>
      <c r="B32" s="798"/>
      <c r="C32" s="3405"/>
      <c r="D32" s="259" t="s">
        <v>1526</v>
      </c>
      <c r="E32" s="798"/>
      <c r="F32" s="804" t="s">
        <v>1527</v>
      </c>
      <c r="G32" s="798"/>
    </row>
    <row r="33" spans="1:7" ht="24.75" thickBot="1">
      <c r="A33" s="805" t="s">
        <v>1528</v>
      </c>
      <c r="B33" s="802"/>
      <c r="C33" s="3405"/>
      <c r="D33" s="259" t="s">
        <v>1529</v>
      </c>
      <c r="E33" s="798"/>
      <c r="F33" s="804" t="s">
        <v>1530</v>
      </c>
      <c r="G33" s="798"/>
    </row>
    <row r="34" spans="1:7">
      <c r="A34" s="803" t="s">
        <v>1531</v>
      </c>
      <c r="B34" s="801"/>
      <c r="C34" s="3405"/>
      <c r="D34" s="259" t="s">
        <v>1532</v>
      </c>
      <c r="E34" s="798"/>
      <c r="F34" s="804" t="s">
        <v>1533</v>
      </c>
      <c r="G34" s="798"/>
    </row>
    <row r="35" spans="1:7" ht="13.5" thickBot="1">
      <c r="A35" s="804" t="s">
        <v>1534</v>
      </c>
      <c r="B35" s="798"/>
      <c r="C35" s="3406"/>
      <c r="D35" s="259" t="s">
        <v>1535</v>
      </c>
      <c r="E35" s="798"/>
      <c r="F35" s="805" t="s">
        <v>1536</v>
      </c>
      <c r="G35" s="2597"/>
    </row>
    <row r="36" spans="1:7">
      <c r="A36" s="804" t="s">
        <v>1493</v>
      </c>
      <c r="B36" s="798"/>
      <c r="C36" s="3384" t="s">
        <v>1537</v>
      </c>
      <c r="D36" s="3385"/>
      <c r="E36" s="798"/>
      <c r="F36" s="2598" t="s">
        <v>1538</v>
      </c>
      <c r="G36" s="801"/>
    </row>
    <row r="37" spans="1:7" ht="13.5" thickBot="1">
      <c r="A37" s="804" t="s">
        <v>1539</v>
      </c>
      <c r="B37" s="798"/>
      <c r="C37" s="3386" t="s">
        <v>1540</v>
      </c>
      <c r="D37" s="3387"/>
      <c r="E37" s="802"/>
      <c r="F37" s="1432" t="s">
        <v>1541</v>
      </c>
      <c r="G37" s="798"/>
    </row>
    <row r="38" spans="1:7" ht="13.5" thickBot="1">
      <c r="A38" s="804" t="s">
        <v>1542</v>
      </c>
      <c r="B38" s="798"/>
      <c r="C38" s="3376" t="s">
        <v>1543</v>
      </c>
      <c r="D38" s="1412" t="s">
        <v>1527</v>
      </c>
      <c r="E38" s="801"/>
      <c r="F38" s="805" t="s">
        <v>1544</v>
      </c>
      <c r="G38" s="802"/>
    </row>
    <row r="39" spans="1:7">
      <c r="A39" s="804" t="s">
        <v>1545</v>
      </c>
      <c r="B39" s="798"/>
      <c r="C39" s="3377"/>
      <c r="D39" s="259" t="s">
        <v>1534</v>
      </c>
      <c r="E39" s="798"/>
      <c r="F39" s="803" t="s">
        <v>1546</v>
      </c>
      <c r="G39" s="801"/>
    </row>
    <row r="40" spans="1:7">
      <c r="A40" s="804" t="s">
        <v>1547</v>
      </c>
      <c r="B40" s="798"/>
      <c r="C40" s="3377" t="s">
        <v>1548</v>
      </c>
      <c r="D40" s="259" t="s">
        <v>1493</v>
      </c>
      <c r="E40" s="798"/>
      <c r="F40" s="804" t="s">
        <v>1549</v>
      </c>
      <c r="G40" s="798"/>
    </row>
    <row r="41" spans="1:7" ht="24.75" customHeight="1" thickBot="1">
      <c r="A41" s="805" t="s">
        <v>1550</v>
      </c>
      <c r="B41" s="802"/>
      <c r="C41" s="3378"/>
      <c r="D41" s="1415" t="s">
        <v>1495</v>
      </c>
      <c r="E41" s="802"/>
      <c r="F41" s="805" t="s">
        <v>1551</v>
      </c>
      <c r="G41" s="802"/>
    </row>
    <row r="42" spans="1:7">
      <c r="A42" s="806" t="s">
        <v>1552</v>
      </c>
      <c r="B42" s="2599"/>
      <c r="C42" s="3399" t="s">
        <v>1552</v>
      </c>
      <c r="D42" s="3400"/>
      <c r="E42" s="2599"/>
      <c r="F42" s="803" t="s">
        <v>1553</v>
      </c>
      <c r="G42" s="2599"/>
    </row>
    <row r="43" spans="1:7">
      <c r="A43" s="821" t="s">
        <v>1554</v>
      </c>
      <c r="B43" s="2600"/>
      <c r="C43" s="1424"/>
      <c r="D43" s="2587"/>
      <c r="E43" s="2600"/>
      <c r="F43" s="821"/>
      <c r="G43" s="2600"/>
    </row>
    <row r="44" spans="1:7">
      <c r="A44" s="821" t="s">
        <v>1508</v>
      </c>
      <c r="B44" s="822"/>
      <c r="C44" s="1424"/>
      <c r="D44" s="1490" t="s">
        <v>1508</v>
      </c>
      <c r="E44" s="822"/>
      <c r="F44" s="821" t="s">
        <v>1508</v>
      </c>
      <c r="G44" s="822"/>
    </row>
    <row r="45" spans="1:7">
      <c r="A45" s="821" t="s">
        <v>1509</v>
      </c>
      <c r="B45" s="822"/>
      <c r="C45" s="1424"/>
      <c r="D45" s="2587" t="s">
        <v>1509</v>
      </c>
      <c r="E45" s="822"/>
      <c r="F45" s="821" t="s">
        <v>1509</v>
      </c>
      <c r="G45" s="822"/>
    </row>
    <row r="46" spans="1:7">
      <c r="A46" s="821" t="s">
        <v>1510</v>
      </c>
      <c r="B46" s="822"/>
      <c r="C46" s="1424"/>
      <c r="D46" s="2587" t="s">
        <v>1510</v>
      </c>
      <c r="E46" s="822"/>
      <c r="F46" s="821" t="s">
        <v>1510</v>
      </c>
      <c r="G46" s="822"/>
    </row>
    <row r="47" spans="1:7">
      <c r="A47" s="821" t="s">
        <v>1511</v>
      </c>
      <c r="B47" s="822"/>
      <c r="C47" s="1424"/>
      <c r="D47" s="2587" t="s">
        <v>1511</v>
      </c>
      <c r="E47" s="822"/>
      <c r="F47" s="821" t="s">
        <v>1511</v>
      </c>
      <c r="G47" s="822"/>
    </row>
    <row r="48" spans="1:7">
      <c r="A48" s="821"/>
      <c r="B48" s="822"/>
      <c r="C48" s="1424"/>
      <c r="D48" s="2587"/>
      <c r="E48" s="822"/>
      <c r="F48" s="821"/>
      <c r="G48" s="822"/>
    </row>
    <row r="49" spans="1:66" ht="13.5" thickBot="1">
      <c r="A49" s="805" t="s">
        <v>1555</v>
      </c>
      <c r="B49" s="802"/>
      <c r="C49" s="3401" t="s">
        <v>1555</v>
      </c>
      <c r="D49" s="3402"/>
      <c r="E49" s="820"/>
      <c r="F49" s="805" t="s">
        <v>1556</v>
      </c>
      <c r="G49" s="802"/>
    </row>
    <row r="50" spans="1:66">
      <c r="A50" s="804" t="s">
        <v>1557</v>
      </c>
      <c r="B50" s="819"/>
      <c r="C50" s="3376" t="s">
        <v>1558</v>
      </c>
      <c r="D50" s="3403"/>
      <c r="E50" s="2601"/>
      <c r="F50" s="837"/>
      <c r="G50" s="838"/>
    </row>
    <row r="51" spans="1:66" ht="13.5" thickBot="1">
      <c r="A51" s="804" t="s">
        <v>1559</v>
      </c>
      <c r="B51" s="819"/>
      <c r="C51" s="3378" t="s">
        <v>1560</v>
      </c>
      <c r="D51" s="3381"/>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8" t="s">
        <v>0</v>
      </c>
      <c r="B1" s="3408" t="s">
        <v>2</v>
      </c>
      <c r="C1" s="3408" t="s">
        <v>3</v>
      </c>
      <c r="D1" s="3409" t="s">
        <v>67</v>
      </c>
      <c r="E1" s="3409" t="s">
        <v>68</v>
      </c>
      <c r="F1" s="3409"/>
      <c r="G1" s="3409"/>
      <c r="H1" s="3409"/>
      <c r="I1" s="3409"/>
      <c r="J1" s="3409"/>
      <c r="K1" s="3409"/>
      <c r="L1" s="3409"/>
      <c r="M1" s="3409"/>
    </row>
    <row r="2" spans="1:13" ht="27" customHeight="1">
      <c r="A2" s="3408"/>
      <c r="B2" s="3408"/>
      <c r="C2" s="3408"/>
      <c r="D2" s="3409"/>
      <c r="E2" s="3409" t="s">
        <v>51</v>
      </c>
      <c r="F2" s="3409" t="s">
        <v>52</v>
      </c>
      <c r="G2" s="3409"/>
      <c r="H2" s="3409"/>
      <c r="I2" s="3409"/>
      <c r="J2" s="3409" t="s">
        <v>53</v>
      </c>
      <c r="K2" s="3409"/>
      <c r="L2" s="3409"/>
      <c r="M2" s="3409"/>
    </row>
    <row r="3" spans="1:13" ht="28.5">
      <c r="A3" s="3408"/>
      <c r="B3" s="3408"/>
      <c r="C3" s="3408"/>
      <c r="D3" s="3409"/>
      <c r="E3" s="34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9" t="s">
        <v>69</v>
      </c>
      <c r="B9" s="3409"/>
      <c r="C9" s="34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H35" sqref="H35"/>
    </sheetView>
  </sheetViews>
  <sheetFormatPr defaultColWidth="13.75" defaultRowHeight="12.75"/>
  <cols>
    <col min="1" max="1" width="20.875" style="2656" customWidth="1"/>
    <col min="2" max="2" width="16.75" style="2603" customWidth="1"/>
    <col min="3" max="3" width="18.25" style="2642" customWidth="1"/>
    <col min="4" max="4" width="34.125" style="2657" customWidth="1"/>
    <col min="5" max="5" width="17.625" style="2657" customWidth="1"/>
    <col min="6" max="6" width="15.5" style="2602"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3"/>
  </cols>
  <sheetData>
    <row r="1" spans="1:41" ht="19.5" thickBot="1">
      <c r="A1" s="2889" t="s">
        <v>1562</v>
      </c>
      <c r="B1" s="947"/>
      <c r="D1" s="2602"/>
      <c r="E1" s="2602"/>
    </row>
    <row r="2" spans="1:41" s="2606" customFormat="1" ht="15.75" thickBot="1">
      <c r="A2" s="2890" t="s">
        <v>1563</v>
      </c>
      <c r="B2" s="2891">
        <f>项目基本情况!D2</f>
        <v>44561</v>
      </c>
      <c r="C2" s="1654"/>
      <c r="D2" s="3410" t="s">
        <v>1564</v>
      </c>
      <c r="E2" s="2604"/>
      <c r="F2" s="2605"/>
      <c r="G2" s="2936"/>
      <c r="H2" s="2936"/>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606" customFormat="1" ht="15" customHeight="1" thickBot="1">
      <c r="A3" s="2609" t="s">
        <v>1565</v>
      </c>
      <c r="B3" s="2607" t="s">
        <v>2986</v>
      </c>
      <c r="C3" s="1654"/>
      <c r="D3" s="3411"/>
      <c r="E3" s="2608" t="s">
        <v>3003</v>
      </c>
      <c r="F3" s="2605"/>
      <c r="G3" s="2936"/>
      <c r="H3" s="2936"/>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606" customFormat="1" ht="15" thickBot="1">
      <c r="A4" s="2612" t="s">
        <v>1566</v>
      </c>
      <c r="B4" s="2607" t="s">
        <v>2987</v>
      </c>
      <c r="C4" s="1654"/>
      <c r="D4" s="3411"/>
      <c r="E4" s="2608"/>
      <c r="F4" s="2605"/>
      <c r="G4" s="2936"/>
      <c r="H4" s="2936"/>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606" customFormat="1" ht="15.75" thickBot="1">
      <c r="A5" s="2609" t="s">
        <v>1567</v>
      </c>
      <c r="B5" s="2610">
        <f>项目基本情况!C12</f>
        <v>393.43</v>
      </c>
      <c r="C5" s="1654"/>
      <c r="D5" s="2892" t="s">
        <v>1568</v>
      </c>
      <c r="E5" s="2611">
        <v>125.51</v>
      </c>
      <c r="F5" s="2605"/>
      <c r="G5" s="2936"/>
      <c r="H5" s="2936"/>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606" customFormat="1" ht="15.75" thickBot="1">
      <c r="A6" s="2612" t="s">
        <v>1569</v>
      </c>
      <c r="B6" s="2613">
        <f>项目基本情况!C13</f>
        <v>0</v>
      </c>
      <c r="C6" s="1654"/>
      <c r="D6" s="2892" t="s">
        <v>1570</v>
      </c>
      <c r="E6" s="2611"/>
      <c r="F6" s="2605"/>
      <c r="G6" s="2936"/>
      <c r="H6" s="2936"/>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38"/>
      <c r="D7" s="2939"/>
      <c r="E7" s="2939"/>
      <c r="F7" s="2936"/>
      <c r="G7" s="2936"/>
      <c r="H7" s="2936"/>
    </row>
    <row r="8" spans="1:41" s="1654" customFormat="1" ht="15" hidden="1">
      <c r="A8" s="2938"/>
      <c r="D8" s="2939"/>
      <c r="E8" s="2939"/>
      <c r="F8" s="2936"/>
      <c r="G8" s="2936"/>
      <c r="H8" s="2936"/>
    </row>
    <row r="9" spans="1:41" s="1654" customFormat="1" ht="15" hidden="1" thickBot="1">
      <c r="C9" s="3058"/>
      <c r="D9" s="2936"/>
      <c r="E9" s="2936"/>
      <c r="F9" s="2936"/>
      <c r="G9" s="2936"/>
      <c r="H9" s="2936"/>
    </row>
    <row r="10" spans="1:41" s="2606" customFormat="1" ht="15" thickBot="1">
      <c r="A10" s="2893" t="s">
        <v>1571</v>
      </c>
      <c r="B10" s="2615" t="s">
        <v>3006</v>
      </c>
      <c r="C10" s="1654"/>
      <c r="D10" s="2890" t="s">
        <v>1572</v>
      </c>
      <c r="E10" s="2894" t="s">
        <v>1573</v>
      </c>
      <c r="F10" s="3059" t="s">
        <v>2782</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19" customFormat="1" ht="14.25">
      <c r="A11" s="2895" t="s">
        <v>1574</v>
      </c>
      <c r="B11" s="2617">
        <v>50</v>
      </c>
      <c r="C11" s="1654"/>
      <c r="D11" s="2896" t="s">
        <v>1575</v>
      </c>
      <c r="E11" s="2618"/>
      <c r="F11" s="1281" t="s">
        <v>1576</v>
      </c>
      <c r="G11" s="1654"/>
      <c r="H11" s="1654"/>
      <c r="I11" s="1654"/>
      <c r="J11" s="1654"/>
      <c r="K11" s="1654"/>
      <c r="L11" s="2678"/>
      <c r="M11" s="2678"/>
      <c r="N11" s="2678"/>
      <c r="O11" s="2678"/>
      <c r="P11" s="2678"/>
      <c r="Q11" s="2678"/>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606" customFormat="1" ht="15">
      <c r="A12" s="2897" t="s">
        <v>1577</v>
      </c>
      <c r="B12" s="3322">
        <v>55148</v>
      </c>
      <c r="C12" s="1654"/>
      <c r="D12" s="2897" t="s">
        <v>1578</v>
      </c>
      <c r="E12" s="2620">
        <v>200</v>
      </c>
      <c r="F12" s="1280"/>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606" customFormat="1" ht="15" thickBot="1">
      <c r="A13" s="2898" t="s">
        <v>1579</v>
      </c>
      <c r="B13" s="2899">
        <f>IF(B12="",B11-(YEAR($B$2)-B27+B24),ROUNDDOWN(MIN((B12-$B$2)/365,B11),2))</f>
        <v>29</v>
      </c>
      <c r="C13" s="2934"/>
      <c r="D13" s="2900" t="s">
        <v>1580</v>
      </c>
      <c r="E13" s="2621">
        <f>成本法!C10</f>
        <v>78686</v>
      </c>
      <c r="F13" s="1279" t="s">
        <v>1581</v>
      </c>
      <c r="G13" s="1654"/>
      <c r="H13" s="1654"/>
      <c r="I13" s="1654"/>
      <c r="J13" s="1654"/>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606" customFormat="1" ht="14.25">
      <c r="A14" s="2897" t="s">
        <v>1582</v>
      </c>
      <c r="B14" s="2901">
        <f>IF(ISERROR(ROUND(POWER(1+B15,B11-B13)*(POWER(1+B15,B13)-1)/(POWER(1+B15,B11)-1),3)),0,ROUND(POWER(1+B15,B11-B13)*(POWER(1+B15,B13)-1)/(POWER(1+B15,B11)-1),3))</f>
        <v>0.82899999999999996</v>
      </c>
      <c r="C14" s="1654"/>
      <c r="D14" s="2902" t="s">
        <v>1583</v>
      </c>
      <c r="E14" s="2622">
        <v>200</v>
      </c>
      <c r="F14" s="1280"/>
      <c r="G14" s="1654"/>
      <c r="H14" s="1654"/>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606" customFormat="1" ht="14.25">
      <c r="A15" s="2897" t="s">
        <v>1584</v>
      </c>
      <c r="B15" s="2623">
        <v>0.05</v>
      </c>
      <c r="C15" s="2532" t="s">
        <v>2783</v>
      </c>
      <c r="D15" s="2897" t="s">
        <v>1585</v>
      </c>
      <c r="E15" s="2903">
        <f>E14-E16</f>
        <v>200</v>
      </c>
      <c r="F15" s="1280"/>
      <c r="G15" s="1654"/>
      <c r="H15" s="1654"/>
      <c r="I15" s="1654"/>
      <c r="J15" s="1654"/>
      <c r="K15" s="1654"/>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606" customFormat="1" ht="15" thickBot="1">
      <c r="A16" s="2897" t="s">
        <v>1586</v>
      </c>
      <c r="B16" s="2623">
        <v>5.5E-2</v>
      </c>
      <c r="C16" s="2532" t="s">
        <v>2784</v>
      </c>
      <c r="D16" s="2904" t="s">
        <v>1587</v>
      </c>
      <c r="E16" s="2624">
        <v>0</v>
      </c>
      <c r="F16" s="1279"/>
      <c r="G16" s="1654"/>
      <c r="H16" s="1654"/>
      <c r="I16" s="1654"/>
      <c r="J16" s="1654"/>
      <c r="K16" s="1654"/>
      <c r="L16" s="1654"/>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606" customFormat="1" ht="15" thickBot="1">
      <c r="A17" s="2904" t="s">
        <v>2781</v>
      </c>
      <c r="B17" s="3057">
        <v>7.4999999999999997E-2</v>
      </c>
      <c r="C17" s="2532" t="s">
        <v>2785</v>
      </c>
      <c r="D17" s="2893" t="s">
        <v>1589</v>
      </c>
      <c r="E17" s="2625">
        <v>3500</v>
      </c>
      <c r="F17" s="947"/>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606" customFormat="1" ht="15" thickBot="1">
      <c r="A18" s="2905" t="s">
        <v>1588</v>
      </c>
      <c r="B18" s="3065">
        <v>7.0000000000000007E-2</v>
      </c>
      <c r="C18" s="1654"/>
      <c r="D18" s="2906" t="str">
        <f>IF(B26=0,"建安总额","在建建安")</f>
        <v>建安总额</v>
      </c>
      <c r="E18" s="2907">
        <f>ROUND(B5*E17*IF(B26=0,1,E20),0)</f>
        <v>1377005</v>
      </c>
      <c r="F18" s="2626">
        <f>ROUND(E5*E17*IF(B26=0,1,E20),0)</f>
        <v>439285</v>
      </c>
      <c r="G18" s="1654"/>
      <c r="H18" s="1654"/>
      <c r="I18" s="1654"/>
      <c r="J18" s="1654"/>
      <c r="K18" s="1654"/>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606" customFormat="1" ht="15" thickBot="1">
      <c r="A19" s="1280"/>
      <c r="B19" s="1280"/>
      <c r="C19" s="1654"/>
      <c r="D19" s="2906" t="str">
        <f>IF(B26=0,"——","续建建安")</f>
        <v>——</v>
      </c>
      <c r="E19" s="2907" t="str">
        <f>IF(B26=0,"——",ROUND(B5*E17*(1-E20),0))</f>
        <v>——</v>
      </c>
      <c r="F19" s="2626" t="str">
        <f>IF(B26=0,"——",ROUND(E5*E17*(1-E20),0))</f>
        <v>——</v>
      </c>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606" customFormat="1" ht="15" thickBot="1">
      <c r="A20" s="2908" t="s">
        <v>1590</v>
      </c>
      <c r="B20" s="1280"/>
      <c r="C20" s="1654"/>
      <c r="D20" s="2910" t="str">
        <f>IF(B26=0,"成新率","工程进度")</f>
        <v>成新率</v>
      </c>
      <c r="E20" s="2628">
        <f>ROUND((H20+H21)/2,2)</f>
        <v>0.74</v>
      </c>
      <c r="F20" s="947"/>
      <c r="G20" s="1654"/>
      <c r="H20" s="1654">
        <f>ROUND(1-(2021-B27)/60,2)</f>
        <v>0.68</v>
      </c>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606" customFormat="1" ht="14.25">
      <c r="A21" s="2909" t="s">
        <v>1591</v>
      </c>
      <c r="B21" s="2627">
        <v>0</v>
      </c>
      <c r="C21" s="1654"/>
      <c r="D21" s="2897" t="s">
        <v>1593</v>
      </c>
      <c r="E21" s="2630">
        <v>0.03</v>
      </c>
      <c r="F21" s="2640" t="s">
        <v>2791</v>
      </c>
      <c r="G21" s="1654"/>
      <c r="H21" s="1654">
        <v>0.8</v>
      </c>
      <c r="I21" s="1654"/>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606" customFormat="1" ht="14.25">
      <c r="A22" s="2911" t="s">
        <v>1592</v>
      </c>
      <c r="B22" s="2629">
        <v>2</v>
      </c>
      <c r="C22" s="1654"/>
      <c r="D22" s="2897" t="s">
        <v>1595</v>
      </c>
      <c r="E22" s="2633">
        <v>0.05</v>
      </c>
      <c r="F22" s="2640" t="s">
        <v>2789</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606" customFormat="1" ht="14.25">
      <c r="A23" s="2912" t="s">
        <v>1594</v>
      </c>
      <c r="B23" s="2632">
        <v>2</v>
      </c>
      <c r="C23" s="1654"/>
      <c r="D23" s="2897" t="s">
        <v>1597</v>
      </c>
      <c r="E23" s="2620">
        <v>200</v>
      </c>
      <c r="F23" s="2640"/>
      <c r="G23" s="1654"/>
      <c r="H23" s="1654"/>
      <c r="I23" s="1654"/>
      <c r="J23" s="1654"/>
      <c r="K23" s="1654"/>
      <c r="L23" s="1654"/>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606" customFormat="1" ht="15" thickBot="1">
      <c r="A24" s="2913" t="s">
        <v>1596</v>
      </c>
      <c r="B24" s="2914">
        <f>B21+B22</f>
        <v>2</v>
      </c>
      <c r="C24" s="1654"/>
      <c r="D24" s="2904" t="s">
        <v>1599</v>
      </c>
      <c r="E24" s="2634">
        <v>1.4999999999999999E-2</v>
      </c>
      <c r="F24" s="2640" t="s">
        <v>2792</v>
      </c>
      <c r="G24" s="1654"/>
      <c r="H24" s="1654"/>
      <c r="I24" s="1654"/>
      <c r="J24" s="1654"/>
      <c r="K24" s="1654"/>
      <c r="L24" s="1654"/>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15" t="s">
        <v>1598</v>
      </c>
      <c r="B25" s="2916">
        <f>B21+B23</f>
        <v>2</v>
      </c>
      <c r="C25" s="1654"/>
      <c r="D25" s="2896" t="s">
        <v>1601</v>
      </c>
      <c r="E25" s="2630">
        <v>0.02</v>
      </c>
      <c r="F25" s="2640" t="s">
        <v>2790</v>
      </c>
      <c r="I25" s="2935"/>
    </row>
    <row r="26" spans="1:41" ht="15" thickBot="1">
      <c r="A26" s="2913" t="s">
        <v>1600</v>
      </c>
      <c r="B26" s="2917">
        <f>B22-B23</f>
        <v>0</v>
      </c>
      <c r="D26" s="2897" t="s">
        <v>1603</v>
      </c>
      <c r="E26" s="2633">
        <v>0.02</v>
      </c>
      <c r="F26" s="2640" t="s">
        <v>2790</v>
      </c>
      <c r="G26" s="2936"/>
      <c r="H26" s="2936"/>
      <c r="I26" s="1654"/>
      <c r="J26" s="1654"/>
      <c r="K26" s="1654"/>
      <c r="L26" s="1654"/>
      <c r="M26" s="1654"/>
      <c r="N26" s="1654"/>
    </row>
    <row r="27" spans="1:41" ht="15.75" thickBot="1">
      <c r="A27" s="2918" t="s">
        <v>1602</v>
      </c>
      <c r="B27" s="2635">
        <v>2002</v>
      </c>
      <c r="C27" s="1654"/>
      <c r="D27" s="3124" t="s">
        <v>2990</v>
      </c>
      <c r="E27" s="2919">
        <f ca="1">IF(D27="利息：取LPR",存贷款利率!G1,存贷款利率!G1+F27)</f>
        <v>4.3499999999999997E-2</v>
      </c>
      <c r="F27" s="3125">
        <v>5.0000000000000001E-3</v>
      </c>
      <c r="G27" s="2936"/>
      <c r="H27" s="2936"/>
      <c r="K27" s="1654"/>
      <c r="N27" s="1654"/>
    </row>
    <row r="28" spans="1:41" ht="15" thickBot="1">
      <c r="A28" s="947"/>
      <c r="B28" s="947"/>
      <c r="D28" s="2900" t="s">
        <v>1605</v>
      </c>
      <c r="E28" s="2637">
        <v>0.15</v>
      </c>
      <c r="G28" s="2936"/>
      <c r="H28" s="2936"/>
      <c r="K28" s="1654"/>
      <c r="N28" s="1654"/>
    </row>
    <row r="29" spans="1:41" ht="14.25">
      <c r="A29" s="2920" t="s">
        <v>1604</v>
      </c>
      <c r="B29" s="2636" t="s">
        <v>2989</v>
      </c>
      <c r="D29" s="2902" t="s">
        <v>1606</v>
      </c>
      <c r="E29" s="2921">
        <f>E30+E31</f>
        <v>5.6000000000000001E-2</v>
      </c>
      <c r="F29" s="1279"/>
      <c r="G29" s="2936"/>
      <c r="H29" s="2936"/>
      <c r="K29" s="1654"/>
      <c r="N29" s="1654"/>
    </row>
    <row r="30" spans="1:41" ht="14.25">
      <c r="A30" s="2897" t="str">
        <f>IF(B29="租赁期内按合同租金","合同租金","市场租金")</f>
        <v>市场租金</v>
      </c>
      <c r="B30" s="2638">
        <v>4</v>
      </c>
      <c r="D30" s="2904" t="s">
        <v>1608</v>
      </c>
      <c r="E30" s="2639">
        <v>0.05</v>
      </c>
      <c r="F30" s="2923">
        <f>IF(B2&lt;DATE(2016,5,1),0,E30)</f>
        <v>0.05</v>
      </c>
      <c r="G30" s="2936"/>
      <c r="H30" s="2936"/>
      <c r="K30" s="1654"/>
      <c r="N30" s="1654"/>
    </row>
    <row r="31" spans="1:41" ht="14.25">
      <c r="A31" s="2897" t="s">
        <v>1607</v>
      </c>
      <c r="B31" s="2922">
        <f ca="1">存贷款利率!I1</f>
        <v>1.4999999999999999E-2</v>
      </c>
      <c r="D31" s="2904" t="s">
        <v>1610</v>
      </c>
      <c r="E31" s="2924">
        <f>E30*(E32+E33+E34)+E35</f>
        <v>6.000000000000001E-3</v>
      </c>
      <c r="F31" s="1279"/>
      <c r="G31" s="2936"/>
      <c r="H31" s="2936"/>
      <c r="K31" s="1654"/>
      <c r="N31" s="1654"/>
    </row>
    <row r="32" spans="1:41" ht="14.25">
      <c r="A32" s="2897" t="s">
        <v>1609</v>
      </c>
      <c r="B32" s="2623">
        <v>2.5000000000000001E-2</v>
      </c>
      <c r="D32" s="2904" t="s">
        <v>1612</v>
      </c>
      <c r="E32" s="3323">
        <v>7.0000000000000007E-2</v>
      </c>
      <c r="F32" s="2640" t="s">
        <v>2676</v>
      </c>
      <c r="G32" s="2936"/>
      <c r="H32" s="2936"/>
      <c r="K32" s="1654"/>
      <c r="L32" s="1654"/>
      <c r="M32" s="1654"/>
      <c r="N32" s="1654"/>
    </row>
    <row r="33" spans="1:14" ht="14.25">
      <c r="A33" s="2897" t="s">
        <v>1611</v>
      </c>
      <c r="B33" s="2623">
        <v>0.1</v>
      </c>
      <c r="D33" s="2904" t="s">
        <v>1614</v>
      </c>
      <c r="E33" s="2639">
        <v>0.03</v>
      </c>
      <c r="F33" s="1278" t="s">
        <v>1615</v>
      </c>
      <c r="G33" s="2936"/>
      <c r="H33" s="2936"/>
      <c r="K33" s="1654"/>
      <c r="L33" s="1654"/>
      <c r="M33" s="1654"/>
      <c r="N33" s="1654"/>
    </row>
    <row r="34" spans="1:14" s="2642" customFormat="1" ht="14.25">
      <c r="A34" s="2897" t="s">
        <v>1613</v>
      </c>
      <c r="B34" s="2925">
        <f>收益法!J54</f>
        <v>29</v>
      </c>
      <c r="D34" s="2904" t="s">
        <v>1616</v>
      </c>
      <c r="E34" s="2639">
        <v>0.02</v>
      </c>
      <c r="F34" s="1278" t="s">
        <v>1617</v>
      </c>
      <c r="G34" s="2936"/>
      <c r="H34" s="2936"/>
      <c r="I34" s="1654"/>
      <c r="J34" s="1654"/>
      <c r="K34" s="1654"/>
      <c r="L34" s="1654"/>
      <c r="M34" s="1654"/>
      <c r="N34" s="1654"/>
    </row>
    <row r="35" spans="1:14" s="2642" customFormat="1" ht="15" thickBot="1">
      <c r="A35" s="2904" t="str">
        <f>IF(B29="租赁期内按合同租金","剩余租赁期","——")</f>
        <v>——</v>
      </c>
      <c r="B35" s="2641"/>
      <c r="D35" s="2900" t="s">
        <v>1619</v>
      </c>
      <c r="E35" s="2644"/>
      <c r="F35" s="1281" t="s">
        <v>1620</v>
      </c>
      <c r="G35" s="2936"/>
      <c r="H35" s="2936"/>
      <c r="I35" s="1654"/>
      <c r="J35" s="1654"/>
      <c r="K35" s="1654"/>
      <c r="L35" s="1654"/>
      <c r="M35" s="1654"/>
      <c r="N35" s="1654"/>
    </row>
    <row r="36" spans="1:14" s="2642" customFormat="1" ht="15">
      <c r="A36" s="2926" t="s">
        <v>1618</v>
      </c>
      <c r="B36" s="2927"/>
      <c r="D36" s="2928" t="s">
        <v>1621</v>
      </c>
      <c r="E36" s="2646">
        <v>0.03</v>
      </c>
      <c r="F36" s="1280" t="s">
        <v>1622</v>
      </c>
      <c r="G36" s="2936"/>
      <c r="H36" s="2936"/>
      <c r="I36" s="1654"/>
      <c r="J36" s="1654"/>
      <c r="K36" s="1654"/>
      <c r="L36" s="1654"/>
      <c r="M36" s="1654"/>
      <c r="N36" s="1654"/>
    </row>
    <row r="37" spans="1:14" s="2642" customFormat="1" ht="15" thickBot="1">
      <c r="A37" s="2902" t="str">
        <f>IF(B29="租赁期内按合同租金","租金","——")</f>
        <v>——</v>
      </c>
      <c r="B37" s="2645"/>
      <c r="D37" s="2904" t="s">
        <v>1623</v>
      </c>
      <c r="E37" s="2639">
        <v>5.0000000000000001E-4</v>
      </c>
      <c r="F37" s="1280" t="s">
        <v>1624</v>
      </c>
      <c r="G37" s="2936"/>
      <c r="H37" s="2936"/>
      <c r="I37" s="1654"/>
      <c r="J37" s="1654"/>
      <c r="K37" s="1654"/>
      <c r="L37" s="1654"/>
      <c r="M37" s="1654"/>
      <c r="N37" s="1654"/>
    </row>
    <row r="38" spans="1:14" s="2642" customFormat="1" ht="14.25">
      <c r="A38" s="2897" t="str">
        <f>IF(B29="租赁期内按合同租金","年租金增长率","——")</f>
        <v>——</v>
      </c>
      <c r="B38" s="2623"/>
      <c r="D38" s="2929" t="s">
        <v>1625</v>
      </c>
      <c r="E38" s="2930">
        <v>1.2E-2</v>
      </c>
      <c r="F38" s="1280"/>
      <c r="G38" s="2935"/>
      <c r="H38" s="2935"/>
      <c r="I38" s="2936"/>
      <c r="J38" s="1654"/>
      <c r="K38" s="1654"/>
      <c r="L38" s="1654"/>
      <c r="M38" s="1654"/>
      <c r="N38" s="1654"/>
    </row>
    <row r="39" spans="1:14" s="2642" customFormat="1" ht="15" thickBot="1">
      <c r="A39" s="2897" t="str">
        <f>IF(B29="租赁期内按合同租金","空置率","——")</f>
        <v>——</v>
      </c>
      <c r="B39" s="2623"/>
      <c r="D39" s="2900" t="s">
        <v>1626</v>
      </c>
      <c r="E39" s="2931">
        <v>0.12</v>
      </c>
      <c r="F39" s="1280"/>
      <c r="G39" s="2936"/>
      <c r="H39" s="2936"/>
      <c r="I39" s="1654"/>
      <c r="J39" s="1654"/>
      <c r="K39" s="1654"/>
      <c r="L39" s="1654"/>
      <c r="M39" s="1654"/>
      <c r="N39" s="1654"/>
    </row>
    <row r="40" spans="1:14" ht="14.25">
      <c r="A40" s="2897" t="str">
        <f>IF(B29="租赁期内按合同租金","成新率","——")</f>
        <v>——</v>
      </c>
      <c r="B40" s="2623"/>
      <c r="D40" s="2929" t="s">
        <v>1627</v>
      </c>
      <c r="E40" s="2933">
        <f>SUMIF(D42:D51,E41,E42:E51)</f>
        <v>1.5</v>
      </c>
      <c r="F40" s="1280"/>
      <c r="G40" s="2936"/>
      <c r="H40" s="2936"/>
      <c r="I40" s="1654"/>
      <c r="J40" s="1654"/>
      <c r="K40" s="1654"/>
      <c r="L40" s="1654"/>
      <c r="M40" s="1654"/>
      <c r="N40" s="1654"/>
    </row>
    <row r="41" spans="1:14" ht="15" thickBot="1">
      <c r="A41" s="2904" t="str">
        <f>IF(B29="租赁期内按合同租金","租赁期外收益期","——")</f>
        <v>——</v>
      </c>
      <c r="B41" s="2932" t="str">
        <f>IF(B29="租赁期内按合同租金",B34-B35,"——")</f>
        <v>——</v>
      </c>
      <c r="D41" s="2897" t="s">
        <v>1629</v>
      </c>
      <c r="E41" s="2648" t="s">
        <v>70</v>
      </c>
      <c r="F41" s="1280" t="s">
        <v>1630</v>
      </c>
      <c r="G41" s="1741" t="s">
        <v>1631</v>
      </c>
      <c r="H41" s="2936"/>
      <c r="I41" s="1654"/>
      <c r="J41" s="1654"/>
      <c r="K41" s="1654"/>
      <c r="L41" s="1654"/>
      <c r="M41" s="1654"/>
      <c r="N41" s="1654"/>
    </row>
    <row r="42" spans="1:14" ht="14.25">
      <c r="A42" s="2896" t="s">
        <v>1628</v>
      </c>
      <c r="B42" s="2647"/>
      <c r="D42" s="2650" t="s">
        <v>1633</v>
      </c>
      <c r="E42" s="2638"/>
      <c r="F42" s="1280">
        <v>30</v>
      </c>
      <c r="G42" s="2936"/>
      <c r="H42" s="2936"/>
      <c r="I42" s="1654"/>
      <c r="J42" s="1654"/>
      <c r="K42" s="1654"/>
      <c r="L42" s="1654"/>
      <c r="M42" s="1654"/>
      <c r="N42" s="1654"/>
    </row>
    <row r="43" spans="1:14" ht="14.25">
      <c r="A43" s="2897" t="s">
        <v>1632</v>
      </c>
      <c r="B43" s="2649">
        <v>365</v>
      </c>
      <c r="D43" s="2650" t="s">
        <v>1635</v>
      </c>
      <c r="E43" s="2638"/>
      <c r="F43" s="1280">
        <v>24</v>
      </c>
      <c r="G43" s="2936"/>
      <c r="H43" s="2936"/>
      <c r="I43" s="1654"/>
      <c r="J43" s="1654"/>
      <c r="K43" s="1654"/>
      <c r="L43" s="1654"/>
      <c r="M43" s="1654"/>
      <c r="N43" s="1654"/>
    </row>
    <row r="44" spans="1:14" ht="14.25">
      <c r="A44" s="2897" t="s">
        <v>1634</v>
      </c>
      <c r="B44" s="2638"/>
      <c r="D44" s="2650" t="s">
        <v>1637</v>
      </c>
      <c r="E44" s="2638"/>
      <c r="F44" s="1280">
        <v>18</v>
      </c>
      <c r="G44" s="2642"/>
      <c r="H44" s="2642"/>
      <c r="I44" s="2936"/>
      <c r="J44" s="1654"/>
      <c r="K44" s="1654"/>
      <c r="L44" s="1654"/>
      <c r="M44" s="1654"/>
      <c r="N44" s="1654"/>
    </row>
    <row r="45" spans="1:14" ht="14.25">
      <c r="A45" s="2897" t="s">
        <v>1636</v>
      </c>
      <c r="B45" s="2651">
        <v>1.4999999999999999E-2</v>
      </c>
      <c r="C45" s="2532" t="s">
        <v>2788</v>
      </c>
      <c r="D45" s="2650" t="s">
        <v>1639</v>
      </c>
      <c r="E45" s="2638"/>
      <c r="F45" s="1280">
        <v>12</v>
      </c>
      <c r="G45" s="2642"/>
      <c r="H45" s="2642"/>
      <c r="M45" s="1654"/>
      <c r="N45" s="1654"/>
    </row>
    <row r="46" spans="1:14" ht="14.25">
      <c r="A46" s="2897" t="s">
        <v>1638</v>
      </c>
      <c r="B46" s="2652">
        <v>1.5E-3</v>
      </c>
      <c r="C46" s="2532" t="s">
        <v>2786</v>
      </c>
      <c r="D46" s="2650" t="s">
        <v>1401</v>
      </c>
      <c r="E46" s="2638">
        <v>3</v>
      </c>
      <c r="F46" s="1280">
        <v>3</v>
      </c>
      <c r="G46" s="2642"/>
      <c r="H46" s="2642"/>
      <c r="M46" s="1654"/>
      <c r="N46" s="1654"/>
    </row>
    <row r="47" spans="1:14" ht="15" thickBot="1">
      <c r="A47" s="2900" t="s">
        <v>1640</v>
      </c>
      <c r="B47" s="2653">
        <v>0.02</v>
      </c>
      <c r="C47" s="2532" t="s">
        <v>2787</v>
      </c>
      <c r="D47" s="2650" t="s">
        <v>1641</v>
      </c>
      <c r="E47" s="2638">
        <v>1.5</v>
      </c>
      <c r="F47" s="1280">
        <v>1.5</v>
      </c>
      <c r="G47" s="2642"/>
      <c r="H47" s="2642"/>
      <c r="M47" s="1654"/>
      <c r="N47" s="1654"/>
    </row>
    <row r="48" spans="1:14" ht="14.25">
      <c r="A48" s="2642"/>
      <c r="B48" s="2642"/>
      <c r="D48" s="2650" t="s">
        <v>1642</v>
      </c>
      <c r="E48" s="2638"/>
      <c r="F48" s="1280"/>
      <c r="G48" s="2642"/>
      <c r="H48" s="2642"/>
      <c r="M48" s="1654"/>
      <c r="N48" s="1654"/>
    </row>
    <row r="49" spans="1:41" ht="14.25">
      <c r="A49" s="2642"/>
      <c r="B49" s="2642"/>
      <c r="D49" s="2650" t="s">
        <v>1643</v>
      </c>
      <c r="E49" s="2638"/>
      <c r="F49" s="1280"/>
      <c r="G49" s="2642"/>
      <c r="H49" s="2642"/>
      <c r="M49" s="1654"/>
      <c r="N49" s="1654"/>
    </row>
    <row r="50" spans="1:41" ht="14.25">
      <c r="A50" s="2642"/>
      <c r="B50" s="2642"/>
      <c r="D50" s="2650" t="s">
        <v>1644</v>
      </c>
      <c r="E50" s="2638"/>
      <c r="F50" s="1280"/>
      <c r="G50" s="2642"/>
      <c r="H50" s="2642"/>
      <c r="M50" s="1654"/>
      <c r="N50" s="1654"/>
    </row>
    <row r="51" spans="1:41" s="947" customFormat="1" ht="15" thickBot="1">
      <c r="A51" s="2642"/>
      <c r="B51" s="2642"/>
      <c r="C51" s="2642"/>
      <c r="D51" s="2654" t="s">
        <v>1645</v>
      </c>
      <c r="E51" s="2655"/>
      <c r="F51" s="1280"/>
      <c r="G51" s="2642"/>
      <c r="H51" s="2642"/>
      <c r="I51" s="2642"/>
      <c r="J51" s="2642"/>
      <c r="K51" s="2642"/>
      <c r="L51" s="2642"/>
      <c r="M51" s="1654"/>
      <c r="N51" s="1654"/>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4"/>
      <c r="J52" s="1654"/>
      <c r="K52" s="1654"/>
      <c r="L52" s="1654"/>
      <c r="M52" s="1654"/>
      <c r="N52" s="1654"/>
    </row>
    <row r="53" spans="1:41" s="2642" customFormat="1" ht="14.25">
      <c r="D53" s="2936"/>
      <c r="E53" s="2936"/>
      <c r="F53" s="2936"/>
      <c r="G53" s="2936"/>
      <c r="H53" s="2936"/>
      <c r="I53" s="1654"/>
      <c r="J53" s="1654"/>
      <c r="K53" s="1654"/>
      <c r="L53" s="1654"/>
      <c r="M53" s="1654"/>
      <c r="N53" s="1654"/>
    </row>
    <row r="54" spans="1:41" s="2642" customFormat="1" ht="14.25">
      <c r="D54" s="2936"/>
      <c r="E54" s="2936"/>
      <c r="F54" s="2936"/>
      <c r="G54" s="2936"/>
      <c r="H54" s="2936"/>
      <c r="I54" s="1654"/>
      <c r="J54" s="1654"/>
      <c r="K54" s="1654"/>
      <c r="L54" s="1654"/>
      <c r="M54" s="1654"/>
      <c r="N54" s="1654"/>
    </row>
    <row r="55" spans="1:41" s="2642" customFormat="1" ht="14.25">
      <c r="D55" s="2936"/>
      <c r="E55" s="2936"/>
      <c r="F55" s="2936"/>
      <c r="G55" s="2936"/>
      <c r="H55" s="2936"/>
      <c r="I55" s="1654"/>
      <c r="J55" s="1654"/>
      <c r="K55" s="1654"/>
      <c r="L55" s="1654"/>
      <c r="M55" s="1654"/>
      <c r="N55" s="1654"/>
    </row>
    <row r="56" spans="1:41" s="2642" customFormat="1" ht="14.25">
      <c r="D56" s="2936"/>
      <c r="E56" s="2936"/>
      <c r="F56" s="2936"/>
      <c r="G56" s="2936"/>
      <c r="H56" s="2936"/>
      <c r="I56" s="1654"/>
      <c r="J56" s="1654"/>
      <c r="K56" s="1654"/>
      <c r="L56" s="1654"/>
      <c r="M56" s="1654"/>
      <c r="N56" s="1654"/>
    </row>
    <row r="57" spans="1:41" s="2642" customFormat="1" ht="14.25">
      <c r="D57" s="2936"/>
      <c r="E57" s="2936"/>
      <c r="F57" s="2936"/>
      <c r="G57" s="2936"/>
      <c r="H57" s="2936"/>
      <c r="I57" s="1654"/>
      <c r="J57" s="1654"/>
      <c r="K57" s="1654"/>
      <c r="L57" s="1654"/>
      <c r="M57" s="1654"/>
      <c r="N57" s="1654"/>
    </row>
    <row r="58" spans="1:41" s="2642" customFormat="1" ht="14.25">
      <c r="D58" s="2936"/>
      <c r="E58" s="2936"/>
      <c r="F58" s="2936"/>
      <c r="G58" s="2936"/>
      <c r="H58" s="2936"/>
      <c r="I58" s="1654"/>
      <c r="J58" s="1654"/>
      <c r="K58" s="1654"/>
      <c r="L58" s="1654"/>
      <c r="M58" s="1654"/>
      <c r="N58" s="1654"/>
    </row>
    <row r="59" spans="1:41" s="2642" customFormat="1" ht="14.25">
      <c r="D59" s="2936"/>
      <c r="E59" s="2936"/>
      <c r="F59" s="2936"/>
      <c r="G59" s="2936"/>
      <c r="H59" s="2936"/>
      <c r="I59" s="1654"/>
      <c r="J59" s="1654"/>
      <c r="K59" s="1654"/>
      <c r="L59" s="1654"/>
      <c r="M59" s="2937"/>
      <c r="N59" s="1654"/>
    </row>
    <row r="60" spans="1:41" s="2642" customFormat="1" ht="14.25">
      <c r="D60" s="2936"/>
      <c r="E60" s="2936"/>
      <c r="F60" s="2936"/>
      <c r="G60" s="2936"/>
      <c r="H60" s="2936"/>
      <c r="I60" s="1654"/>
      <c r="J60" s="1654"/>
      <c r="K60" s="1654"/>
      <c r="L60" s="1654"/>
      <c r="M60" s="1654"/>
      <c r="N60" s="1654"/>
    </row>
    <row r="61" spans="1:41" s="2642" customFormat="1" ht="14.25">
      <c r="D61" s="2936"/>
      <c r="E61" s="2936"/>
      <c r="F61" s="2936"/>
      <c r="G61" s="2936"/>
      <c r="H61" s="2936"/>
      <c r="I61" s="1654"/>
      <c r="J61" s="1654"/>
      <c r="K61" s="1654"/>
      <c r="L61" s="1654"/>
      <c r="M61" s="1654"/>
      <c r="N61" s="1654"/>
    </row>
    <row r="62" spans="1:41" s="2642" customFormat="1" ht="14.25">
      <c r="D62" s="2936"/>
      <c r="E62" s="2936"/>
      <c r="F62" s="2936"/>
      <c r="G62" s="2936"/>
      <c r="H62" s="2936"/>
      <c r="I62" s="1654"/>
      <c r="J62" s="1654"/>
      <c r="K62" s="1654"/>
      <c r="L62" s="1654"/>
      <c r="M62" s="1654"/>
      <c r="N62" s="1654"/>
    </row>
    <row r="63" spans="1:41" s="2642" customFormat="1" ht="14.25">
      <c r="D63" s="2936"/>
      <c r="E63" s="2936"/>
      <c r="F63" s="2936"/>
      <c r="G63" s="2936"/>
      <c r="H63" s="2936"/>
      <c r="I63" s="1654"/>
      <c r="J63" s="1654"/>
      <c r="K63" s="1654"/>
      <c r="L63" s="1654"/>
      <c r="M63" s="1654"/>
      <c r="N63" s="1654"/>
    </row>
    <row r="64" spans="1:41" s="2642" customFormat="1" ht="14.25">
      <c r="D64" s="2936"/>
      <c r="E64" s="2936"/>
      <c r="F64" s="2936"/>
      <c r="G64" s="2936"/>
      <c r="H64" s="2936"/>
      <c r="I64" s="1654"/>
      <c r="J64" s="1654"/>
      <c r="K64" s="1654"/>
      <c r="L64" s="1654"/>
      <c r="M64" s="1654"/>
      <c r="N64" s="1654"/>
    </row>
    <row r="65" spans="1:14" s="2642" customFormat="1" ht="14.25">
      <c r="D65" s="2936"/>
      <c r="E65" s="2936"/>
      <c r="F65" s="2936"/>
      <c r="G65" s="2936"/>
      <c r="H65" s="2936"/>
      <c r="I65" s="1654"/>
      <c r="J65" s="1654"/>
      <c r="K65" s="1654"/>
      <c r="L65" s="1654"/>
      <c r="M65" s="1654"/>
      <c r="N65" s="1654"/>
    </row>
    <row r="66" spans="1:14" s="2642" customFormat="1" ht="14.25">
      <c r="D66" s="2936"/>
      <c r="E66" s="2936"/>
      <c r="F66" s="2936"/>
      <c r="G66" s="2936"/>
      <c r="H66" s="2936"/>
      <c r="I66" s="1654"/>
      <c r="J66" s="1654"/>
      <c r="K66" s="1654"/>
      <c r="L66" s="1654"/>
      <c r="M66" s="1654"/>
      <c r="N66" s="1654"/>
    </row>
    <row r="67" spans="1:14" s="2642" customFormat="1" ht="14.25">
      <c r="A67" s="2940"/>
      <c r="D67" s="2936"/>
      <c r="E67" s="2936"/>
      <c r="F67" s="2936"/>
      <c r="G67" s="2936"/>
      <c r="H67" s="2936"/>
      <c r="I67" s="1654"/>
      <c r="J67" s="1654"/>
      <c r="K67" s="1654"/>
      <c r="L67" s="1654"/>
      <c r="M67" s="1654"/>
      <c r="N67" s="1654"/>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33" sqref="C33"/>
    </sheetView>
  </sheetViews>
  <sheetFormatPr defaultColWidth="9" defaultRowHeight="14.25"/>
  <cols>
    <col min="1" max="1" width="14.75" style="2606" customWidth="1"/>
    <col min="2" max="2" width="24.5" style="2619" customWidth="1"/>
    <col min="3" max="3" width="28.375" style="2678" customWidth="1"/>
    <col min="4" max="4" width="2.625" style="2678" customWidth="1"/>
    <col min="5" max="5" width="5.875" style="2678" customWidth="1"/>
    <col min="6" max="6" width="27" style="2619"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6"/>
  </cols>
  <sheetData>
    <row r="1" spans="1:29" s="2663" customFormat="1" ht="19.5" thickBot="1">
      <c r="A1" s="3412" t="s">
        <v>1646</v>
      </c>
      <c r="B1" s="3413"/>
      <c r="C1" s="3413"/>
      <c r="D1" s="3413"/>
      <c r="E1" s="3413"/>
      <c r="F1" s="3413"/>
      <c r="G1" s="3413"/>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3" customFormat="1" ht="13.5" thickBot="1">
      <c r="A2" s="3066"/>
      <c r="B2" s="3067"/>
      <c r="C2" s="3068" t="s">
        <v>2793</v>
      </c>
      <c r="D2" s="3069"/>
      <c r="E2" s="3066"/>
      <c r="F2" s="3070"/>
      <c r="G2" s="3068" t="s">
        <v>2794</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3" customFormat="1" ht="36">
      <c r="A3" s="3072" t="s">
        <v>2795</v>
      </c>
      <c r="B3" s="3073" t="s">
        <v>2796</v>
      </c>
      <c r="C3" s="3074" t="s">
        <v>2797</v>
      </c>
      <c r="D3" s="3075"/>
      <c r="E3" s="3076" t="s">
        <v>2795</v>
      </c>
      <c r="F3" s="3077" t="s">
        <v>2798</v>
      </c>
      <c r="G3" s="3078" t="s">
        <v>2799</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3" customFormat="1" ht="24.75">
      <c r="A4" s="3076"/>
      <c r="B4" s="3060" t="s">
        <v>2800</v>
      </c>
      <c r="C4" s="3079" t="s">
        <v>2801</v>
      </c>
      <c r="D4" s="3075"/>
      <c r="E4" s="3080"/>
      <c r="F4" s="3062" t="s">
        <v>2802</v>
      </c>
      <c r="G4" s="3081" t="s">
        <v>2803</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3" customFormat="1" ht="24.75">
      <c r="A5" s="3076"/>
      <c r="B5" s="3060" t="s">
        <v>2804</v>
      </c>
      <c r="C5" s="3079" t="s">
        <v>2805</v>
      </c>
      <c r="D5" s="3075"/>
      <c r="E5" s="3080"/>
      <c r="F5" s="3060" t="s">
        <v>2806</v>
      </c>
      <c r="G5" s="3081" t="s">
        <v>2807</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3" customFormat="1" ht="36">
      <c r="A6" s="3076"/>
      <c r="B6" s="3060" t="s">
        <v>2808</v>
      </c>
      <c r="C6" s="3081" t="s">
        <v>2803</v>
      </c>
      <c r="D6" s="3075"/>
      <c r="E6" s="3080"/>
      <c r="F6" s="3060" t="s">
        <v>2809</v>
      </c>
      <c r="G6" s="3081" t="s">
        <v>2810</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3" customFormat="1" ht="24.75" thickBot="1">
      <c r="A7" s="3076"/>
      <c r="B7" s="3060" t="s">
        <v>2806</v>
      </c>
      <c r="C7" s="3081" t="s">
        <v>2807</v>
      </c>
      <c r="D7" s="2949"/>
      <c r="E7" s="3082"/>
      <c r="F7" s="3083" t="s">
        <v>2811</v>
      </c>
      <c r="G7" s="3084" t="s">
        <v>2812</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3" customFormat="1" ht="12.75">
      <c r="A8" s="3076"/>
      <c r="B8" s="3060" t="s">
        <v>2809</v>
      </c>
      <c r="C8" s="3081" t="s">
        <v>2810</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3" customFormat="1" ht="24">
      <c r="A9" s="3076"/>
      <c r="B9" s="3060" t="s">
        <v>2813</v>
      </c>
      <c r="C9" s="3079" t="s">
        <v>2814</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2815</v>
      </c>
      <c r="C10" s="3086"/>
      <c r="D10" s="3075"/>
      <c r="E10" s="3075"/>
      <c r="F10" s="2944"/>
      <c r="G10" s="2944"/>
      <c r="H10" s="1467"/>
      <c r="I10" s="3087"/>
      <c r="J10" s="3088"/>
      <c r="K10" s="1467"/>
      <c r="L10" s="3087"/>
      <c r="M10" s="3088"/>
      <c r="N10" s="1467"/>
      <c r="O10" s="3087"/>
      <c r="P10" s="3088"/>
      <c r="Q10" s="1467"/>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7"/>
      <c r="I11" s="3087"/>
      <c r="J11" s="3088"/>
      <c r="K11" s="1467"/>
      <c r="L11" s="3087"/>
      <c r="M11" s="3088"/>
      <c r="N11" s="1467"/>
      <c r="O11" s="3087"/>
      <c r="P11" s="3088"/>
      <c r="Q11" s="1467"/>
      <c r="R11" s="3087"/>
      <c r="S11" s="3071"/>
      <c r="T11" s="3071"/>
      <c r="U11" s="3071"/>
      <c r="V11" s="3071"/>
      <c r="W11" s="3071"/>
      <c r="X11" s="3071"/>
      <c r="Y11" s="3071"/>
      <c r="Z11" s="3071"/>
      <c r="AA11" s="3071"/>
      <c r="AB11" s="3071"/>
      <c r="AC11" s="3071"/>
    </row>
    <row r="12" spans="1:29" s="2663" customFormat="1" ht="18">
      <c r="A12" s="2614"/>
      <c r="B12" s="2667"/>
      <c r="C12" s="2666"/>
      <c r="D12" s="2668"/>
      <c r="E12" s="2666"/>
      <c r="F12" s="2667"/>
      <c r="G12" s="1812"/>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1652</v>
      </c>
      <c r="B13" s="2668"/>
      <c r="C13" s="2668"/>
      <c r="D13" s="2664"/>
      <c r="E13" s="2668"/>
      <c r="F13" s="2668"/>
      <c r="G13" s="2668"/>
    </row>
    <row r="14" spans="1:29" s="2603" customFormat="1" ht="13.5" thickBot="1">
      <c r="A14" s="3091"/>
      <c r="B14" s="3091"/>
      <c r="C14" s="3092" t="s">
        <v>2816</v>
      </c>
      <c r="D14" s="3075"/>
      <c r="E14" s="3093"/>
      <c r="F14" s="3093"/>
      <c r="G14" s="3068" t="s">
        <v>2817</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3" customFormat="1" ht="38.25">
      <c r="A15" s="3097" t="s">
        <v>2818</v>
      </c>
      <c r="B15" s="3098" t="s">
        <v>2796</v>
      </c>
      <c r="C15" s="3099" t="str">
        <f>C3</f>
        <v>估价对象周边居住用地比例、居住小区规模和社区发展完善程度，综合评价居住社区成熟度一般</v>
      </c>
      <c r="D15" s="3075"/>
      <c r="E15" s="3100" t="s">
        <v>2819</v>
      </c>
      <c r="F15" s="3098" t="s">
        <v>2820</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3" customFormat="1" ht="25.5">
      <c r="A16" s="3102"/>
      <c r="B16" s="2543" t="s">
        <v>2800</v>
      </c>
      <c r="C16" s="3103" t="str">
        <f>C4</f>
        <v>估价对象位于XX商圈，周边商业氛围成熟，人流量大，商业繁华度好</v>
      </c>
      <c r="D16" s="3075"/>
      <c r="E16" s="3104"/>
      <c r="F16" s="3061" t="s">
        <v>2802</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3" customFormat="1" ht="25.5">
      <c r="A17" s="3102"/>
      <c r="B17" s="2543" t="s">
        <v>2804</v>
      </c>
      <c r="C17" s="3103" t="str">
        <f>C5</f>
        <v>估价对象位于XX商圈，周边办公楼项目较多，入驻率高，办公集聚程度较好</v>
      </c>
      <c r="D17" s="2949"/>
      <c r="E17" s="3104"/>
      <c r="F17" s="3061" t="s">
        <v>2821</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3" customFormat="1" ht="38.25">
      <c r="A18" s="3102"/>
      <c r="B18" s="3061" t="s">
        <v>2808</v>
      </c>
      <c r="C18" s="3105" t="str">
        <f>C6</f>
        <v>估价对象周边道路状况、公共交通通达情况、停车便捷程度，综合评价交通便捷度较好</v>
      </c>
      <c r="D18" s="2949"/>
      <c r="E18" s="3104"/>
      <c r="F18" s="3061" t="s">
        <v>2811</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3" customFormat="1" ht="12.75">
      <c r="A19" s="3102"/>
      <c r="B19" s="3061" t="s">
        <v>2822</v>
      </c>
      <c r="C19" s="3106"/>
      <c r="D19" s="3075"/>
      <c r="E19" s="3104"/>
      <c r="F19" s="3060" t="s">
        <v>2806</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3" customFormat="1" ht="25.5">
      <c r="A20" s="3102"/>
      <c r="B20" s="3061" t="s">
        <v>2823</v>
      </c>
      <c r="C20" s="3103" t="str">
        <f>C9</f>
        <v>区域自然环境：；人文环境；综合评价环境状况一般</v>
      </c>
      <c r="D20" s="2949"/>
      <c r="E20" s="3104"/>
      <c r="F20" s="3060" t="s">
        <v>2809</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3" customFormat="1" ht="25.5">
      <c r="A21" s="3102"/>
      <c r="B21" s="3060" t="s">
        <v>2806</v>
      </c>
      <c r="C21" s="3105" t="str">
        <f>C7</f>
        <v>估价对象所在区域公共配套设施齐备情况</v>
      </c>
      <c r="D21" s="3075"/>
      <c r="E21" s="3104"/>
      <c r="F21" s="3061" t="s">
        <v>2824</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3" customFormat="1" ht="12.75">
      <c r="A22" s="3102"/>
      <c r="B22" s="3060" t="s">
        <v>2809</v>
      </c>
      <c r="C22" s="3105" t="str">
        <f>C8</f>
        <v>估价对象所在区域基础设施水平</v>
      </c>
      <c r="D22" s="3075"/>
      <c r="E22" s="3104"/>
      <c r="F22" s="3061" t="s">
        <v>2815</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2824</v>
      </c>
      <c r="C23" s="3107"/>
      <c r="D23" s="3094"/>
      <c r="E23" s="3109"/>
      <c r="F23" s="3063" t="s">
        <v>2825</v>
      </c>
      <c r="G23" s="3110"/>
      <c r="H23" s="3094"/>
      <c r="I23" s="3095"/>
      <c r="J23" s="3094"/>
      <c r="K23" s="3094"/>
      <c r="L23" s="3095"/>
      <c r="M23" s="3094"/>
      <c r="N23" s="3094"/>
      <c r="O23" s="3095"/>
      <c r="P23" s="3094"/>
      <c r="Q23" s="3094"/>
      <c r="R23" s="3096"/>
    </row>
    <row r="24" spans="1:29" s="3071" customFormat="1" ht="13.5" thickBot="1">
      <c r="A24" s="3111"/>
      <c r="B24" s="3063" t="s">
        <v>2826</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2" customWidth="1"/>
    <col min="2" max="16384" width="14.625" style="2552"/>
  </cols>
  <sheetData>
    <row r="1" spans="1:9" ht="16.5">
      <c r="A1" s="2550" t="s">
        <v>1155</v>
      </c>
      <c r="B1" s="2550">
        <f>SUM(B14:B23)</f>
        <v>393.43</v>
      </c>
      <c r="C1" s="1603"/>
      <c r="D1" s="1603"/>
      <c r="E1" s="1603"/>
      <c r="F1" s="1603"/>
      <c r="G1" s="2551"/>
    </row>
    <row r="2" spans="1:9" ht="16.5">
      <c r="A2" s="2550" t="s">
        <v>1156</v>
      </c>
      <c r="B2" s="2550">
        <f>SUM(C14:C23)</f>
        <v>0</v>
      </c>
      <c r="C2" s="1603"/>
      <c r="D2" s="1603"/>
      <c r="E2" s="1603"/>
      <c r="F2" s="1603"/>
      <c r="G2" s="2551"/>
    </row>
    <row r="3" spans="1:9" ht="16.5">
      <c r="A3" s="2550" t="s">
        <v>1157</v>
      </c>
      <c r="B3" s="2553">
        <f>项目基本情况!D2</f>
        <v>44561</v>
      </c>
      <c r="C3" s="1603"/>
      <c r="D3" s="1603"/>
      <c r="E3" s="1603"/>
      <c r="F3" s="1603"/>
      <c r="G3" s="2551"/>
    </row>
    <row r="4" spans="1:9" ht="33">
      <c r="A4" s="2550" t="s">
        <v>1158</v>
      </c>
      <c r="B4" s="2550" t="s">
        <v>1159</v>
      </c>
      <c r="C4" s="2550" t="s">
        <v>1160</v>
      </c>
      <c r="D4" s="2550" t="s">
        <v>1161</v>
      </c>
      <c r="E4" s="1603"/>
      <c r="F4" s="2551"/>
      <c r="G4" s="2551"/>
    </row>
    <row r="5" spans="1:9" ht="16.5">
      <c r="A5" s="2550" t="s">
        <v>1162</v>
      </c>
      <c r="B5" s="2550">
        <f ca="1">SUM(D14:D23)</f>
        <v>1082</v>
      </c>
      <c r="C5" s="2550">
        <f ca="1">ROUND(B5*10000/$B$1,0)</f>
        <v>27502</v>
      </c>
      <c r="D5" s="2550" t="e">
        <f ca="1">ROUND(B5*10000/$B$2,0)</f>
        <v>#DIV/0!</v>
      </c>
      <c r="E5" s="1603"/>
      <c r="F5" s="2551"/>
      <c r="G5" s="2551"/>
    </row>
    <row r="6" spans="1:9" ht="16.5">
      <c r="A6" s="2550" t="s">
        <v>1163</v>
      </c>
      <c r="B6" s="2550">
        <f ca="1">SUM(G14:G23)</f>
        <v>1082</v>
      </c>
      <c r="C6" s="2550">
        <f t="shared" ref="C6:C8" ca="1" si="0">ROUND(B6*10000/$B$1,0)</f>
        <v>27502</v>
      </c>
      <c r="D6" s="2550" t="e">
        <f t="shared" ref="D6:D8" ca="1" si="1">ROUND(B6*10000/$B$2,0)</f>
        <v>#DIV/0!</v>
      </c>
      <c r="E6" s="1603"/>
      <c r="F6" s="2551"/>
      <c r="G6" s="2551"/>
    </row>
    <row r="7" spans="1:9" ht="16.5">
      <c r="A7" s="2550" t="s">
        <v>1164</v>
      </c>
      <c r="B7" s="2550">
        <f>SUM(H14:H23)</f>
        <v>0</v>
      </c>
      <c r="C7" s="2550">
        <f>ROUND(B7*10000/$B$1,0)</f>
        <v>0</v>
      </c>
      <c r="D7" s="2550" t="e">
        <f t="shared" si="1"/>
        <v>#DIV/0!</v>
      </c>
      <c r="E7" s="1603"/>
      <c r="F7" s="2551"/>
      <c r="G7" s="2551"/>
    </row>
    <row r="8" spans="1:9" ht="16.5">
      <c r="A8" s="2550" t="s">
        <v>1165</v>
      </c>
      <c r="B8" s="2550">
        <f>SUM(I14:I23)</f>
        <v>0</v>
      </c>
      <c r="C8" s="2550">
        <f t="shared" si="0"/>
        <v>0</v>
      </c>
      <c r="D8" s="2550" t="e">
        <f t="shared" si="1"/>
        <v>#DIV/0!</v>
      </c>
      <c r="E8" s="1603"/>
      <c r="F8" s="2551"/>
      <c r="G8" s="2551"/>
    </row>
    <row r="9" spans="1:9" ht="16.5">
      <c r="A9" s="2550" t="s">
        <v>1166</v>
      </c>
      <c r="B9" s="2554"/>
      <c r="C9" s="1603"/>
      <c r="D9" s="1603"/>
      <c r="E9" s="1603"/>
      <c r="F9" s="2551"/>
      <c r="G9" s="2551"/>
    </row>
    <row r="10" spans="1:9" ht="16.5">
      <c r="A10" s="2550" t="s">
        <v>1167</v>
      </c>
      <c r="B10" s="2554"/>
      <c r="C10" s="1603"/>
      <c r="D10" s="1603"/>
      <c r="E10" s="1603"/>
      <c r="F10" s="2551"/>
      <c r="G10" s="2551"/>
    </row>
    <row r="11" spans="1:9" ht="16.5">
      <c r="A11" s="2550" t="s">
        <v>1183</v>
      </c>
      <c r="B11" s="2554"/>
      <c r="C11" s="1603"/>
      <c r="D11" s="1603"/>
      <c r="E11" s="1603"/>
      <c r="F11" s="2551"/>
      <c r="G11" s="2551"/>
    </row>
    <row r="12" spans="1:9" ht="16.5">
      <c r="A12" s="1603"/>
      <c r="B12" s="1603"/>
      <c r="C12" s="1603"/>
      <c r="D12" s="1603"/>
      <c r="E12" s="1603"/>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4" t="s">
        <v>1181</v>
      </c>
      <c r="B14" s="2884">
        <f>项目基本情况!C12</f>
        <v>393.43</v>
      </c>
      <c r="C14" s="2884">
        <f>项目基本情况!C13</f>
        <v>0</v>
      </c>
      <c r="D14" s="2884">
        <f ca="1">IF('数据-取费表'!B3="万元",IF(A14="估价对象1（结果表）",结果表!H121,'结果表 (1修多)'!H125),IF(A14="估价对象1（结果表）",结果表!H121,'结果表 (1修多)'!H125)/10000)</f>
        <v>1082</v>
      </c>
      <c r="E14" s="2884">
        <f ca="1">ROUND(D14*10000/B14,0)</f>
        <v>27502</v>
      </c>
      <c r="F14" s="2884" t="e">
        <f ca="1">ROUND(D14*10000/C14,0)</f>
        <v>#DIV/0!</v>
      </c>
      <c r="G14" s="2884">
        <f ca="1">IF('数据-取费表'!B3="万元",IF(A14="估价对象1（结果表）",结果表!D125,'结果表 (1修多)'!D129),IF(A14="估价对象1（结果表）",结果表!D125,'结果表 (1修多)'!D129)/10000)</f>
        <v>1082</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7" t="s">
        <v>1172</v>
      </c>
      <c r="B15" s="2558"/>
      <c r="C15" s="2558"/>
      <c r="D15" s="2558"/>
      <c r="E15" s="2884" t="e">
        <f t="shared" ref="E15:E23" si="2">ROUND(D15*10000/B15,0)</f>
        <v>#DIV/0!</v>
      </c>
      <c r="F15" s="2884" t="e">
        <f t="shared" ref="F15:F23" si="3">ROUND(D15*10000/C15,0)</f>
        <v>#DIV/0!</v>
      </c>
      <c r="G15" s="1274"/>
      <c r="H15" s="1274"/>
      <c r="I15" s="2558"/>
    </row>
    <row r="16" spans="1:9" ht="16.5">
      <c r="A16" s="2557" t="s">
        <v>1173</v>
      </c>
      <c r="B16" s="2558"/>
      <c r="C16" s="2558"/>
      <c r="D16" s="2558"/>
      <c r="E16" s="2884" t="e">
        <f t="shared" si="2"/>
        <v>#DIV/0!</v>
      </c>
      <c r="F16" s="2884" t="e">
        <f t="shared" si="3"/>
        <v>#DIV/0!</v>
      </c>
      <c r="G16" s="1274"/>
      <c r="H16" s="1274"/>
      <c r="I16" s="2558"/>
    </row>
    <row r="17" spans="1:9" ht="16.5">
      <c r="A17" s="2557" t="s">
        <v>1174</v>
      </c>
      <c r="B17" s="2558"/>
      <c r="C17" s="2558"/>
      <c r="D17" s="2558"/>
      <c r="E17" s="2884" t="e">
        <f t="shared" si="2"/>
        <v>#DIV/0!</v>
      </c>
      <c r="F17" s="2884" t="e">
        <f t="shared" si="3"/>
        <v>#DIV/0!</v>
      </c>
      <c r="G17" s="1274"/>
      <c r="H17" s="1274"/>
      <c r="I17" s="2558"/>
    </row>
    <row r="18" spans="1:9" ht="16.5">
      <c r="A18" s="2557" t="s">
        <v>1175</v>
      </c>
      <c r="B18" s="2558"/>
      <c r="C18" s="2558"/>
      <c r="D18" s="2558"/>
      <c r="E18" s="2884" t="e">
        <f t="shared" si="2"/>
        <v>#DIV/0!</v>
      </c>
      <c r="F18" s="2884" t="e">
        <f t="shared" si="3"/>
        <v>#DIV/0!</v>
      </c>
      <c r="G18" s="2558"/>
      <c r="H18" s="2558"/>
      <c r="I18" s="2558"/>
    </row>
    <row r="19" spans="1:9" ht="16.5">
      <c r="A19" s="2557" t="s">
        <v>1176</v>
      </c>
      <c r="B19" s="2558"/>
      <c r="C19" s="2558"/>
      <c r="D19" s="2558"/>
      <c r="E19" s="2884" t="e">
        <f t="shared" si="2"/>
        <v>#DIV/0!</v>
      </c>
      <c r="F19" s="2884" t="e">
        <f t="shared" si="3"/>
        <v>#DIV/0!</v>
      </c>
      <c r="G19" s="2558"/>
      <c r="H19" s="2558"/>
      <c r="I19" s="2558"/>
    </row>
    <row r="20" spans="1:9" ht="16.5">
      <c r="A20" s="2557" t="s">
        <v>1177</v>
      </c>
      <c r="B20" s="2558"/>
      <c r="C20" s="2558"/>
      <c r="D20" s="2558"/>
      <c r="E20" s="2884" t="e">
        <f t="shared" si="2"/>
        <v>#DIV/0!</v>
      </c>
      <c r="F20" s="2884" t="e">
        <f t="shared" si="3"/>
        <v>#DIV/0!</v>
      </c>
      <c r="G20" s="2558"/>
      <c r="H20" s="2558"/>
      <c r="I20" s="2558"/>
    </row>
    <row r="21" spans="1:9" ht="16.5">
      <c r="A21" s="2557" t="s">
        <v>1178</v>
      </c>
      <c r="B21" s="2558"/>
      <c r="C21" s="2558"/>
      <c r="D21" s="2558"/>
      <c r="E21" s="2884" t="e">
        <f t="shared" si="2"/>
        <v>#DIV/0!</v>
      </c>
      <c r="F21" s="2884" t="e">
        <f t="shared" si="3"/>
        <v>#DIV/0!</v>
      </c>
      <c r="G21" s="2558"/>
      <c r="H21" s="2558"/>
      <c r="I21" s="2558"/>
    </row>
    <row r="22" spans="1:9" ht="16.5">
      <c r="A22" s="2557" t="s">
        <v>1179</v>
      </c>
      <c r="B22" s="2558"/>
      <c r="C22" s="2558"/>
      <c r="D22" s="2558"/>
      <c r="E22" s="2884" t="e">
        <f t="shared" si="2"/>
        <v>#DIV/0!</v>
      </c>
      <c r="F22" s="2884" t="e">
        <f t="shared" si="3"/>
        <v>#DIV/0!</v>
      </c>
      <c r="G22" s="2558"/>
      <c r="H22" s="2558"/>
      <c r="I22" s="2558"/>
    </row>
    <row r="23" spans="1:9" ht="16.5">
      <c r="A23" s="2557" t="s">
        <v>1180</v>
      </c>
      <c r="B23" s="2558"/>
      <c r="C23" s="2558"/>
      <c r="D23" s="2558"/>
      <c r="E23" s="2885" t="e">
        <f t="shared" si="2"/>
        <v>#DIV/0!</v>
      </c>
      <c r="F23" s="2885"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L29" sqref="L29"/>
    </sheetView>
  </sheetViews>
  <sheetFormatPr defaultColWidth="12.625" defaultRowHeight="21.75" customHeight="1"/>
  <cols>
    <col min="1" max="2" width="12.625" style="1431"/>
    <col min="3" max="4" width="12.625" style="1431" customWidth="1"/>
    <col min="5" max="9" width="12.625" style="1431"/>
    <col min="10" max="10" width="3.625" style="2810" customWidth="1"/>
    <col min="11" max="12" width="12.625" style="659" customWidth="1"/>
    <col min="13" max="13" width="12.625" style="659"/>
    <col min="14" max="14" width="14.125" style="659" bestFit="1" customWidth="1"/>
    <col min="15" max="27" width="12.625" style="659"/>
    <col min="28" max="36" width="12.625" style="1277"/>
    <col min="37" max="16384" width="12.625" style="1431"/>
  </cols>
  <sheetData>
    <row r="1" spans="1:15" ht="21.75" customHeight="1">
      <c r="A1" s="1429" t="s">
        <v>1653</v>
      </c>
      <c r="B1" s="1430"/>
      <c r="C1" s="1430"/>
      <c r="D1" s="1430"/>
      <c r="E1" s="1430"/>
      <c r="F1" s="1430"/>
      <c r="G1" s="1430"/>
      <c r="H1" s="1430"/>
      <c r="I1" s="1430"/>
    </row>
    <row r="2" spans="1:15" ht="21.75" customHeight="1">
      <c r="A2" s="3485" t="str">
        <f>项目基本情况!B1</f>
        <v>北京市房地产抵押价值预评估</v>
      </c>
      <c r="B2" s="3485"/>
      <c r="C2" s="3485"/>
      <c r="D2" s="3485"/>
      <c r="E2" s="3485"/>
      <c r="F2" s="3485"/>
      <c r="G2" s="3485"/>
      <c r="H2" s="3485"/>
      <c r="I2" s="3485"/>
      <c r="J2" s="2811"/>
    </row>
    <row r="3" spans="1:15" ht="12.75">
      <c r="A3" s="3490" t="s">
        <v>1654</v>
      </c>
      <c r="B3" s="3491"/>
      <c r="C3" s="3491"/>
      <c r="D3" s="3491"/>
      <c r="E3" s="3491"/>
      <c r="F3" s="3491"/>
      <c r="G3" s="3491"/>
      <c r="H3" s="3491"/>
      <c r="I3" s="3491"/>
      <c r="J3" s="2812"/>
    </row>
    <row r="4" spans="1:15" ht="14.25">
      <c r="A4" s="2680" t="s">
        <v>1655</v>
      </c>
      <c r="B4" s="2680" t="s">
        <v>1656</v>
      </c>
      <c r="C4" s="2681" t="s">
        <v>3011</v>
      </c>
      <c r="D4" s="2681" t="s">
        <v>3004</v>
      </c>
      <c r="E4" s="3487" t="s">
        <v>1657</v>
      </c>
      <c r="F4" s="3475"/>
      <c r="G4" s="3475"/>
      <c r="H4" s="3475"/>
      <c r="I4" s="3476"/>
      <c r="J4" s="2813"/>
      <c r="L4" s="1430" t="str">
        <f>IF(ISNUMBER(FIND("比较法",结果表!C4)),"比较法",IF(ISNUMBER(FIND("成本法",结果表!C4)),"成本法",IF(ISNUMBER(FIND("假设开发法",结果表!C4)),"假设开发法",IF(ISNUMBER(FIND("收益法",结果表!C4)),"收益法","基准地价系数修正法"))))</f>
        <v>比较法</v>
      </c>
      <c r="M4" s="1430" t="str">
        <f>IF(ISNUMBER(FIND("比较法",结果表!D4)),"比较法",IF(ISNUMBER(FIND("成本法",结果表!D4)),"成本法",IF(ISNUMBER(FIND("假设开发法",结果表!D4)),"假设开发法",IF(ISNUMBER(FIND("收益法",结果表!D4)),"收益法","基准地价系数修正法"))))</f>
        <v>收益法</v>
      </c>
      <c r="N4" s="1430"/>
      <c r="O4" s="1430"/>
    </row>
    <row r="5" spans="1:15" ht="12.75">
      <c r="A5" s="3486" t="s">
        <v>1658</v>
      </c>
      <c r="B5" s="3486">
        <v>25</v>
      </c>
      <c r="C5" s="3492"/>
      <c r="D5" s="3489"/>
      <c r="E5" s="12" t="s">
        <v>1659</v>
      </c>
      <c r="F5" s="2058"/>
      <c r="G5" s="2058"/>
      <c r="H5" s="2058"/>
      <c r="I5" s="2053"/>
      <c r="J5" s="2813"/>
    </row>
    <row r="6" spans="1:15" ht="12.75">
      <c r="A6" s="3486"/>
      <c r="B6" s="3486"/>
      <c r="C6" s="3493"/>
      <c r="D6" s="3489"/>
      <c r="E6" s="12" t="s">
        <v>1660</v>
      </c>
      <c r="F6" s="2058"/>
      <c r="G6" s="2058"/>
      <c r="H6" s="2058"/>
      <c r="I6" s="2053"/>
      <c r="J6" s="2813"/>
    </row>
    <row r="7" spans="1:15" ht="12.75">
      <c r="A7" s="3486"/>
      <c r="B7" s="3486"/>
      <c r="C7" s="3494"/>
      <c r="D7" s="3489"/>
      <c r="E7" s="12" t="s">
        <v>1661</v>
      </c>
      <c r="F7" s="2058"/>
      <c r="G7" s="2058"/>
      <c r="H7" s="2058"/>
      <c r="I7" s="2053"/>
      <c r="J7" s="2813"/>
    </row>
    <row r="8" spans="1:15" ht="12.75">
      <c r="A8" s="3486" t="s">
        <v>1662</v>
      </c>
      <c r="B8" s="3486">
        <v>15</v>
      </c>
      <c r="C8" s="3492"/>
      <c r="D8" s="3489"/>
      <c r="E8" s="12" t="s">
        <v>1663</v>
      </c>
      <c r="F8" s="2058"/>
      <c r="G8" s="2058"/>
      <c r="H8" s="2058"/>
      <c r="I8" s="2053"/>
      <c r="J8" s="2813"/>
    </row>
    <row r="9" spans="1:15" ht="12.75">
      <c r="A9" s="3486"/>
      <c r="B9" s="3486"/>
      <c r="C9" s="3494"/>
      <c r="D9" s="3489"/>
      <c r="E9" s="12" t="s">
        <v>1664</v>
      </c>
      <c r="F9" s="2058"/>
      <c r="G9" s="2058"/>
      <c r="H9" s="2058"/>
      <c r="I9" s="2053"/>
      <c r="J9" s="2813"/>
    </row>
    <row r="10" spans="1:15" ht="12.75">
      <c r="A10" s="3486" t="s">
        <v>1665</v>
      </c>
      <c r="B10" s="3486">
        <v>15</v>
      </c>
      <c r="C10" s="3492"/>
      <c r="D10" s="3489"/>
      <c r="E10" s="12" t="s">
        <v>1666</v>
      </c>
      <c r="F10" s="2058"/>
      <c r="G10" s="2058"/>
      <c r="H10" s="2058"/>
      <c r="I10" s="2053"/>
      <c r="J10" s="2813"/>
    </row>
    <row r="11" spans="1:15" ht="12.75">
      <c r="A11" s="3486"/>
      <c r="B11" s="3486"/>
      <c r="C11" s="3494"/>
      <c r="D11" s="3489"/>
      <c r="E11" s="12" t="s">
        <v>1667</v>
      </c>
      <c r="F11" s="2058"/>
      <c r="G11" s="2058"/>
      <c r="H11" s="2058"/>
      <c r="I11" s="2053"/>
      <c r="J11" s="2813"/>
    </row>
    <row r="12" spans="1:15" ht="12.75">
      <c r="A12" s="3486" t="s">
        <v>1668</v>
      </c>
      <c r="B12" s="3486">
        <v>15</v>
      </c>
      <c r="C12" s="3492"/>
      <c r="D12" s="3489"/>
      <c r="E12" s="12" t="s">
        <v>1669</v>
      </c>
      <c r="F12" s="2058"/>
      <c r="G12" s="2058"/>
      <c r="H12" s="2058"/>
      <c r="I12" s="2053"/>
      <c r="J12" s="2813"/>
    </row>
    <row r="13" spans="1:15" ht="12.75">
      <c r="A13" s="3486"/>
      <c r="B13" s="3486"/>
      <c r="C13" s="3494"/>
      <c r="D13" s="3489"/>
      <c r="E13" s="12" t="s">
        <v>1670</v>
      </c>
      <c r="F13" s="2058"/>
      <c r="G13" s="2058"/>
      <c r="H13" s="2058"/>
      <c r="I13" s="2053"/>
      <c r="J13" s="2813"/>
    </row>
    <row r="14" spans="1:15" ht="12.75">
      <c r="A14" s="3486" t="s">
        <v>1671</v>
      </c>
      <c r="B14" s="3486">
        <v>30</v>
      </c>
      <c r="C14" s="3492">
        <v>7</v>
      </c>
      <c r="D14" s="3489">
        <v>3</v>
      </c>
      <c r="E14" s="12" t="s">
        <v>1672</v>
      </c>
      <c r="F14" s="2058"/>
      <c r="G14" s="2058"/>
      <c r="H14" s="2058"/>
      <c r="I14" s="2053"/>
      <c r="J14" s="2813"/>
    </row>
    <row r="15" spans="1:15" ht="12.75">
      <c r="A15" s="3486"/>
      <c r="B15" s="3486"/>
      <c r="C15" s="3493"/>
      <c r="D15" s="3489"/>
      <c r="E15" s="12" t="s">
        <v>1673</v>
      </c>
      <c r="F15" s="2058"/>
      <c r="G15" s="2058"/>
      <c r="H15" s="2058"/>
      <c r="I15" s="2053"/>
      <c r="J15" s="2813"/>
    </row>
    <row r="16" spans="1:15" ht="12.75">
      <c r="A16" s="3486"/>
      <c r="B16" s="3486"/>
      <c r="C16" s="3494"/>
      <c r="D16" s="3489"/>
      <c r="E16" s="12" t="s">
        <v>1674</v>
      </c>
      <c r="F16" s="2058"/>
      <c r="G16" s="2058"/>
      <c r="H16" s="2058"/>
      <c r="I16" s="2053"/>
      <c r="J16" s="2813"/>
    </row>
    <row r="17" spans="1:36" ht="15">
      <c r="A17" s="2682" t="s">
        <v>1675</v>
      </c>
      <c r="B17" s="2063"/>
      <c r="C17" s="2683">
        <f>SUM(C5:C16)</f>
        <v>7</v>
      </c>
      <c r="D17" s="2683">
        <f>SUM(D5:D16)</f>
        <v>3</v>
      </c>
      <c r="E17" s="2532"/>
      <c r="F17" s="2532"/>
      <c r="G17" s="2532"/>
      <c r="H17" s="2532"/>
      <c r="I17" s="2532"/>
      <c r="J17" s="2814"/>
    </row>
    <row r="18" spans="1:36" ht="30" customHeight="1" thickBot="1">
      <c r="A18" s="2684" t="s">
        <v>1676</v>
      </c>
      <c r="B18" s="2685"/>
      <c r="C18" s="2686">
        <f>ROUND(C17/SUM(C17:D17),2)</f>
        <v>0.7</v>
      </c>
      <c r="D18" s="2686">
        <f>1-C18</f>
        <v>0.30000000000000004</v>
      </c>
      <c r="E18" s="3506" t="s">
        <v>2761</v>
      </c>
      <c r="F18" s="3507"/>
      <c r="G18" s="3507"/>
      <c r="H18" s="3507"/>
      <c r="I18" s="3507"/>
      <c r="J18" s="2814"/>
      <c r="K18" s="3318" t="s">
        <v>3012</v>
      </c>
    </row>
    <row r="19" spans="1:36" ht="15">
      <c r="A19" s="2687" t="s">
        <v>1677</v>
      </c>
      <c r="B19" s="2688" t="s">
        <v>1678</v>
      </c>
      <c r="C19" s="2689">
        <f ca="1">SUMIF(INDIRECT("'"&amp;C4&amp;"'"&amp;"!A:A"),结果表!B19,INDIRECT("'"&amp;C4&amp;"'"&amp;"!B:B"))</f>
        <v>393</v>
      </c>
      <c r="D19" s="2690">
        <f ca="1">SUMIF(INDIRECT("'"&amp;D4&amp;"'"&amp;"!A:A"),结果表!B19,INDIRECT("'"&amp;D4&amp;"'"&amp;"!B:B"))</f>
        <v>234</v>
      </c>
      <c r="E19" s="2687" t="s">
        <v>1679</v>
      </c>
      <c r="F19" s="2688" t="s">
        <v>1678</v>
      </c>
      <c r="G19" s="2691">
        <f ca="1">ROUND(C19*$C$18+D19*$D$18,0)</f>
        <v>345</v>
      </c>
      <c r="H19" s="2692" t="str">
        <f>'数据-取费表'!B3</f>
        <v>万元</v>
      </c>
      <c r="I19" s="2740"/>
      <c r="J19" s="2815"/>
      <c r="K19" s="659">
        <v>444</v>
      </c>
      <c r="L19" s="659">
        <f ca="1">G19-K19</f>
        <v>-99</v>
      </c>
    </row>
    <row r="20" spans="1:36" ht="15">
      <c r="A20" s="2693"/>
      <c r="B20" s="1663" t="s">
        <v>1680</v>
      </c>
      <c r="C20" s="1888">
        <f ca="1">SUMIF(INDIRECT("'"&amp;C4&amp;"'"&amp;"!A:A"),结果表!B20,INDIRECT("'"&amp;C4&amp;"'"&amp;"!B:B"))</f>
        <v>31287</v>
      </c>
      <c r="D20" s="1891">
        <f ca="1">SUMIF(INDIRECT("'"&amp;D4&amp;"'"&amp;"!A:A"),结果表!B20,INDIRECT("'"&amp;D4&amp;"'"&amp;"!B:B"))</f>
        <v>18650</v>
      </c>
      <c r="E20" s="2693"/>
      <c r="F20" s="1663" t="s">
        <v>1680</v>
      </c>
      <c r="G20" s="2062">
        <f ca="1">ROUND(C20*$C$18+D20*$D$18,0)</f>
        <v>27496</v>
      </c>
      <c r="H20" s="2694" t="s">
        <v>1681</v>
      </c>
      <c r="I20" s="2532"/>
      <c r="J20" s="2814"/>
      <c r="K20" s="659">
        <v>38125</v>
      </c>
    </row>
    <row r="21" spans="1:36" ht="15" customHeight="1" thickBot="1">
      <c r="A21" s="2695"/>
      <c r="B21" s="2696"/>
      <c r="C21" s="2696"/>
      <c r="D21" s="2697"/>
      <c r="E21" s="2695"/>
      <c r="F21" s="2696"/>
      <c r="G21" s="2698"/>
      <c r="H21" s="2699"/>
      <c r="I21" s="2532"/>
      <c r="J21" s="2814"/>
    </row>
    <row r="22" spans="1:36" ht="15" thickBot="1">
      <c r="A22" s="2700" t="s">
        <v>1682</v>
      </c>
      <c r="B22" s="2701"/>
      <c r="C22" s="2616"/>
      <c r="D22" s="2702">
        <f ca="1">IF(C19&lt;D19,D19/C19-1,C19/D19-1)</f>
        <v>0.67948717948717952</v>
      </c>
      <c r="E22" s="947"/>
      <c r="F22" s="947"/>
      <c r="G22" s="947"/>
      <c r="H22" s="947"/>
      <c r="I22" s="947"/>
      <c r="J22" s="2814"/>
    </row>
    <row r="23" spans="1:36" ht="13.5" thickBot="1">
      <c r="A23" s="2532"/>
      <c r="B23" s="2532"/>
      <c r="C23" s="2532"/>
      <c r="D23" s="2532"/>
      <c r="E23" s="947"/>
      <c r="F23" s="947"/>
      <c r="G23" s="947"/>
      <c r="H23" s="947"/>
      <c r="I23" s="947"/>
      <c r="J23" s="2814"/>
    </row>
    <row r="24" spans="1:36" ht="21.75" customHeight="1">
      <c r="A24" s="3495" t="s">
        <v>1683</v>
      </c>
      <c r="B24" s="2688" t="s">
        <v>1678</v>
      </c>
      <c r="C24" s="2691">
        <f>D30</f>
        <v>0</v>
      </c>
      <c r="D24" s="2643"/>
      <c r="E24" s="947"/>
      <c r="F24" s="947"/>
      <c r="G24" s="947"/>
      <c r="H24" s="947"/>
      <c r="I24" s="947"/>
      <c r="J24" s="2814"/>
    </row>
    <row r="25" spans="1:36" ht="21.75" customHeight="1">
      <c r="A25" s="3496"/>
      <c r="B25" s="1663" t="s">
        <v>1680</v>
      </c>
      <c r="C25" s="2703">
        <f>IF(B30=0,0,C30)</f>
        <v>0</v>
      </c>
      <c r="D25" s="2704"/>
      <c r="E25" s="947"/>
      <c r="F25" s="947"/>
      <c r="G25" s="947"/>
      <c r="H25" s="947"/>
      <c r="I25" s="947"/>
      <c r="J25" s="2814"/>
    </row>
    <row r="26" spans="1:36" ht="13.5" customHeight="1">
      <c r="A26" s="2705" t="s">
        <v>1684</v>
      </c>
      <c r="B26" s="2706" t="s">
        <v>1685</v>
      </c>
      <c r="C26" s="2706" t="s">
        <v>1686</v>
      </c>
      <c r="D26" s="2707" t="s">
        <v>1687</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1688</v>
      </c>
      <c r="B30" s="2742"/>
      <c r="C30" s="2742"/>
      <c r="D30" s="2742"/>
      <c r="E30" s="2709" t="s">
        <v>2765</v>
      </c>
      <c r="F30" s="2532"/>
      <c r="G30" s="2532"/>
      <c r="H30" s="2532"/>
      <c r="I30" s="2532"/>
      <c r="J30" s="2814"/>
    </row>
    <row r="31" spans="1:36" s="2807" customFormat="1" ht="26.45" customHeight="1" thickTop="1" thickBot="1">
      <c r="A31" s="2802"/>
      <c r="B31" s="2803"/>
      <c r="C31" s="2803"/>
      <c r="D31" s="2803"/>
      <c r="E31" s="2803"/>
      <c r="F31" s="2803"/>
      <c r="G31" s="2803"/>
      <c r="H31" s="2803"/>
      <c r="I31" s="2804" t="s">
        <v>2766</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1689</v>
      </c>
      <c r="B32" s="2796" t="str">
        <f>'数据-取费表'!B4</f>
        <v>总价</v>
      </c>
      <c r="C32" s="2797">
        <f ca="1">IF(B32="总价",G19-C24,G20-C25)</f>
        <v>345</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1690</v>
      </c>
      <c r="B33" s="255"/>
      <c r="C33" s="2711"/>
      <c r="D33" s="2712"/>
      <c r="E33" s="2713" t="s">
        <v>1691</v>
      </c>
      <c r="F33" s="2714" t="str">
        <f>IF(B32="楼面单价","取值（单价）","取值（总价）")</f>
        <v>取值（总价）</v>
      </c>
      <c r="G33" s="947"/>
      <c r="H33" s="947"/>
      <c r="I33" s="947"/>
      <c r="J33" s="2814"/>
    </row>
    <row r="34" spans="1:17" ht="15">
      <c r="A34" s="1435"/>
      <c r="B34" s="2715" t="s">
        <v>1692</v>
      </c>
      <c r="C34" s="2716">
        <f ca="1">IF(D33="自定义",F34,C32-C35)</f>
        <v>275</v>
      </c>
      <c r="D34" s="2717">
        <f ca="1">IF(D33="自定义",ROUND(C34/C32,3),1-D35)</f>
        <v>0.79800000000000004</v>
      </c>
      <c r="E34" s="1404" t="s">
        <v>1693</v>
      </c>
      <c r="F34" s="2718">
        <v>2000</v>
      </c>
      <c r="G34" s="947"/>
      <c r="H34" s="947"/>
      <c r="I34" s="947"/>
      <c r="J34" s="2814"/>
    </row>
    <row r="35" spans="1:17" ht="15.75" thickBot="1">
      <c r="A35" s="1436"/>
      <c r="B35" s="2719" t="s">
        <v>1694</v>
      </c>
      <c r="C35" s="2720">
        <f ca="1">IF(D33="自定义",F35,ROUND(C32*D35,0))</f>
        <v>70</v>
      </c>
      <c r="D35" s="2721">
        <f ca="1">IF(D33="自定义",ROUND(C35/C32,3),IF(D33="成本法成本比率",成本法!C56,IF(D33="收益法收益比率",收益法!J38,收益法!J41)))</f>
        <v>0.20200000000000001</v>
      </c>
      <c r="E35" s="2722" t="s">
        <v>1695</v>
      </c>
      <c r="F35" s="2723">
        <v>4460</v>
      </c>
      <c r="G35" s="947"/>
      <c r="H35" s="947"/>
      <c r="I35" s="947"/>
      <c r="J35" s="2814"/>
    </row>
    <row r="36" spans="1:17" ht="15.75" thickBot="1">
      <c r="A36" s="3495" t="s">
        <v>1696</v>
      </c>
      <c r="B36" s="1437" t="s">
        <v>1697</v>
      </c>
      <c r="C36" s="2724">
        <v>0</v>
      </c>
      <c r="D36" s="2725"/>
      <c r="E36" s="1649"/>
      <c r="F36" s="1649"/>
      <c r="G36" s="947"/>
      <c r="H36" s="947"/>
      <c r="I36" s="947"/>
      <c r="J36" s="2814"/>
    </row>
    <row r="37" spans="1:17" ht="15.75" thickBot="1">
      <c r="A37" s="3500"/>
      <c r="B37" s="2063" t="s">
        <v>1698</v>
      </c>
      <c r="C37" s="2726">
        <v>0</v>
      </c>
      <c r="D37" s="1280"/>
      <c r="E37" s="1280"/>
      <c r="F37" s="1649"/>
      <c r="G37" s="1280"/>
      <c r="H37" s="1280"/>
      <c r="I37" s="1280"/>
      <c r="J37" s="2818"/>
    </row>
    <row r="38" spans="1:17" ht="15.75" thickBot="1">
      <c r="A38" s="3501"/>
      <c r="B38" s="1438" t="s">
        <v>1699</v>
      </c>
      <c r="C38" s="2727">
        <v>0</v>
      </c>
      <c r="D38" s="2728" t="s">
        <v>1700</v>
      </c>
      <c r="E38" s="1280"/>
      <c r="F38" s="1649"/>
      <c r="G38" s="1280"/>
      <c r="H38" s="1280"/>
      <c r="I38" s="1280"/>
      <c r="J38" s="2818"/>
    </row>
    <row r="39" spans="1:17" ht="15">
      <c r="A39" s="2693" t="s">
        <v>1701</v>
      </c>
      <c r="B39" s="2729" t="s">
        <v>1685</v>
      </c>
      <c r="C39" s="2730" t="s">
        <v>1686</v>
      </c>
      <c r="D39" s="2730" t="s">
        <v>1702</v>
      </c>
      <c r="E39" s="2731" t="s">
        <v>1687</v>
      </c>
      <c r="F39" s="1649"/>
      <c r="G39" s="1280"/>
      <c r="H39" s="1280"/>
      <c r="I39" s="1280"/>
      <c r="J39" s="2818"/>
    </row>
    <row r="40" spans="1:17" ht="14.25">
      <c r="A40" s="2732" t="s">
        <v>1703</v>
      </c>
      <c r="B40" s="2733"/>
      <c r="C40" s="2734"/>
      <c r="D40" s="2734"/>
      <c r="E40" s="2735"/>
      <c r="F40" s="1649"/>
      <c r="G40" s="1280"/>
      <c r="H40" s="1280"/>
      <c r="I40" s="1280"/>
      <c r="J40" s="2818"/>
    </row>
    <row r="41" spans="1:17" ht="14.25">
      <c r="A41" s="2732" t="s">
        <v>1704</v>
      </c>
      <c r="B41" s="2733"/>
      <c r="C41" s="2734"/>
      <c r="D41" s="2734"/>
      <c r="E41" s="2735"/>
      <c r="F41" s="1649"/>
      <c r="G41" s="1280"/>
      <c r="H41" s="1280"/>
      <c r="I41" s="1280"/>
      <c r="J41" s="2818"/>
    </row>
    <row r="42" spans="1:17" ht="15" thickBot="1">
      <c r="A42" s="2736"/>
      <c r="B42" s="2737"/>
      <c r="C42" s="2738"/>
      <c r="D42" s="2738"/>
      <c r="E42" s="2723"/>
      <c r="F42" s="1649"/>
      <c r="G42" s="1280"/>
      <c r="H42" s="1280"/>
      <c r="I42" s="1280"/>
      <c r="J42" s="2818"/>
    </row>
    <row r="43" spans="1:17" ht="12.75">
      <c r="A43" s="2944"/>
      <c r="B43" s="2944"/>
      <c r="C43" s="2944"/>
      <c r="D43" s="2944"/>
      <c r="E43" s="2944"/>
      <c r="F43" s="2943"/>
      <c r="G43" s="2943"/>
      <c r="H43" s="2943"/>
      <c r="I43" s="2631"/>
      <c r="J43" s="2819"/>
    </row>
    <row r="44" spans="1:17" ht="18.75">
      <c r="A44" s="1440" t="s">
        <v>1705</v>
      </c>
      <c r="B44" s="1441"/>
      <c r="C44" s="1441"/>
      <c r="D44" s="1442"/>
      <c r="E44" s="1442"/>
      <c r="F44" s="1443"/>
      <c r="G44" s="1443"/>
      <c r="H44" s="1443"/>
      <c r="I44" s="2808" t="s">
        <v>2760</v>
      </c>
      <c r="J44" s="2820"/>
      <c r="K44" s="1444" t="s">
        <v>1706</v>
      </c>
      <c r="L44" s="1445"/>
      <c r="M44" s="1445"/>
      <c r="N44" s="1445"/>
      <c r="O44" s="1445"/>
      <c r="P44" s="1445"/>
      <c r="Q44" s="1277"/>
    </row>
    <row r="45" spans="1:17" ht="14.25" customHeight="1" thickBot="1">
      <c r="A45" s="3420" t="s">
        <v>1707</v>
      </c>
      <c r="B45" s="3421"/>
      <c r="C45" s="3431"/>
      <c r="D45" s="246">
        <f ca="1">ROUND(I102*F45,0)</f>
        <v>345</v>
      </c>
      <c r="E45" s="1511" t="s">
        <v>1708</v>
      </c>
      <c r="F45" s="2530">
        <v>1</v>
      </c>
      <c r="G45" s="2531" t="s">
        <v>1709</v>
      </c>
      <c r="H45" s="947"/>
      <c r="I45" s="947"/>
      <c r="J45" s="2814"/>
      <c r="K45" s="3426" t="s">
        <v>2690</v>
      </c>
      <c r="L45" s="3426"/>
      <c r="M45" s="3426"/>
      <c r="N45" s="3426"/>
      <c r="O45" s="3426"/>
      <c r="P45" s="3426"/>
      <c r="Q45" s="1277"/>
    </row>
    <row r="46" spans="1:17" ht="14.25" customHeight="1">
      <c r="A46" s="3497" t="s">
        <v>1711</v>
      </c>
      <c r="B46" s="3498"/>
      <c r="C46" s="3498"/>
      <c r="D46" s="3498"/>
      <c r="E46" s="3498"/>
      <c r="F46" s="3498"/>
      <c r="G46" s="3499"/>
      <c r="H46" s="2946"/>
      <c r="I46" s="947"/>
      <c r="J46" s="2814"/>
      <c r="K46" s="2505">
        <v>1</v>
      </c>
      <c r="L46" s="3427" t="s">
        <v>2691</v>
      </c>
      <c r="M46" s="3427"/>
      <c r="N46" s="3428" t="str">
        <f>项目基本情况!B1</f>
        <v>北京市房地产抵押价值预评估</v>
      </c>
      <c r="O46" s="3428"/>
      <c r="P46" s="3428"/>
      <c r="Q46" s="1277"/>
    </row>
    <row r="47" spans="1:17" ht="12" customHeight="1">
      <c r="A47" s="38" t="s">
        <v>1713</v>
      </c>
      <c r="B47" s="39"/>
      <c r="C47" s="40"/>
      <c r="D47" s="1069" t="s">
        <v>1714</v>
      </c>
      <c r="E47" s="235" t="s">
        <v>1715</v>
      </c>
      <c r="F47" s="41" t="s">
        <v>1716</v>
      </c>
      <c r="G47" s="2533" t="s">
        <v>1717</v>
      </c>
      <c r="H47" s="2946"/>
      <c r="I47" s="947"/>
      <c r="J47" s="2814"/>
      <c r="K47" s="2505">
        <v>2</v>
      </c>
      <c r="L47" s="3427" t="s">
        <v>2692</v>
      </c>
      <c r="M47" s="3427"/>
      <c r="N47" s="3429">
        <f>'数据-取费表'!B2</f>
        <v>44561</v>
      </c>
      <c r="O47" s="3429"/>
      <c r="P47" s="3429"/>
      <c r="Q47" s="1277"/>
    </row>
    <row r="48" spans="1:17" ht="25.5">
      <c r="A48" s="3502" t="s">
        <v>1719</v>
      </c>
      <c r="B48" s="3436"/>
      <c r="C48" s="3436"/>
      <c r="D48" s="12">
        <f ca="1">IF(H48="情况1",0,IF(H48="情况2",D52,IF(H48="情况3",D53,IF(H48="情况4",D54))))</f>
        <v>18</v>
      </c>
      <c r="E48" s="2061" t="str">
        <f>IF(H48="情况4","(销售额-原购置价)×税（费）率","销售额×税（费）率")</f>
        <v>销售额×税（费）率</v>
      </c>
      <c r="F48" s="2534">
        <f>IF(H48="情况1","免征",'数据-取费表'!E29)</f>
        <v>5.6000000000000001E-2</v>
      </c>
      <c r="G48" s="2535" t="s">
        <v>1720</v>
      </c>
      <c r="H48" s="2536" t="s">
        <v>1721</v>
      </c>
      <c r="I48" s="2946"/>
      <c r="J48" s="2821"/>
      <c r="K48" s="2505">
        <v>3</v>
      </c>
      <c r="L48" s="3427" t="s">
        <v>2693</v>
      </c>
      <c r="M48" s="3427"/>
      <c r="N48" s="3428">
        <f ca="1">I102</f>
        <v>345</v>
      </c>
      <c r="O48" s="3428"/>
      <c r="P48" s="3428"/>
      <c r="Q48" s="1277"/>
    </row>
    <row r="49" spans="1:17" ht="25.5" customHeight="1">
      <c r="A49" s="2060" t="s">
        <v>1723</v>
      </c>
      <c r="B49" s="3475" t="s">
        <v>1724</v>
      </c>
      <c r="C49" s="3475"/>
      <c r="D49" s="2537">
        <v>0</v>
      </c>
      <c r="E49" s="261" t="s">
        <v>1725</v>
      </c>
      <c r="F49" s="2538" t="s">
        <v>48</v>
      </c>
      <c r="G49" s="3417"/>
      <c r="H49" s="2539" t="s">
        <v>2767</v>
      </c>
      <c r="I49" s="2540"/>
      <c r="J49" s="2822"/>
      <c r="K49" s="2505">
        <v>4</v>
      </c>
      <c r="L49" s="3427" t="str">
        <f>IF(项目基本情况!F5="房地产抵押价值","房地产抵押价值","抵押担保权已注销时的房地产抵押价值")</f>
        <v>房地产抵押价值</v>
      </c>
      <c r="M49" s="3427"/>
      <c r="N49" s="3428">
        <f ca="1">IF(项目基本情况!F5="房地产抵押价值",I110,I112)</f>
        <v>345</v>
      </c>
      <c r="O49" s="3428"/>
      <c r="P49" s="3428"/>
      <c r="Q49" s="1277"/>
    </row>
    <row r="50" spans="1:17" ht="25.5" customHeight="1">
      <c r="A50" s="2050"/>
      <c r="B50" s="3475" t="s">
        <v>1726</v>
      </c>
      <c r="C50" s="3475"/>
      <c r="D50" s="2541"/>
      <c r="E50" s="269"/>
      <c r="F50" s="2538"/>
      <c r="G50" s="3418"/>
      <c r="H50" s="2542" t="s">
        <v>2686</v>
      </c>
      <c r="I50" s="2540"/>
      <c r="J50" s="2822"/>
      <c r="K50" s="3427" t="s">
        <v>2694</v>
      </c>
      <c r="L50" s="3427"/>
      <c r="M50" s="3427"/>
      <c r="N50" s="3427"/>
      <c r="O50" s="3427"/>
      <c r="P50" s="3427"/>
      <c r="Q50" s="1277"/>
    </row>
    <row r="51" spans="1:17" ht="20.45" customHeight="1">
      <c r="A51" s="2543"/>
      <c r="B51" s="3475" t="s">
        <v>1728</v>
      </c>
      <c r="C51" s="3475"/>
      <c r="D51" s="1069"/>
      <c r="E51" s="264"/>
      <c r="F51" s="2538"/>
      <c r="G51" s="3419"/>
      <c r="H51" s="2542" t="s">
        <v>2687</v>
      </c>
      <c r="I51" s="2540"/>
      <c r="J51" s="2822"/>
      <c r="K51" s="2506" t="s">
        <v>2695</v>
      </c>
      <c r="L51" s="3427" t="s">
        <v>2696</v>
      </c>
      <c r="M51" s="3427"/>
      <c r="N51" s="2506" t="s">
        <v>2697</v>
      </c>
      <c r="O51" s="2506" t="s">
        <v>2698</v>
      </c>
      <c r="P51" s="2506" t="s">
        <v>2699</v>
      </c>
      <c r="Q51" s="1277"/>
    </row>
    <row r="52" spans="1:17" ht="24" customHeight="1">
      <c r="A52" s="2051" t="s">
        <v>1734</v>
      </c>
      <c r="B52" s="3475" t="s">
        <v>1735</v>
      </c>
      <c r="C52" s="3475"/>
      <c r="D52" s="1069">
        <f ca="1">ROUND(D45*'数据-取费表'!E29/(1+'数据-取费表'!F30),0)</f>
        <v>18</v>
      </c>
      <c r="E52" s="2061" t="s">
        <v>1736</v>
      </c>
      <c r="F52" s="2544">
        <f>'数据-取费表'!E29</f>
        <v>5.6000000000000001E-2</v>
      </c>
      <c r="G52" s="2545"/>
      <c r="H52" s="947"/>
      <c r="I52" s="2947"/>
      <c r="J52" s="2822"/>
      <c r="K52" s="2505">
        <v>1</v>
      </c>
      <c r="L52" s="3416" t="s">
        <v>2700</v>
      </c>
      <c r="M52" s="3416"/>
      <c r="N52" s="2507">
        <f ca="1">D48</f>
        <v>18</v>
      </c>
      <c r="O52" s="2505" t="str">
        <f>E48</f>
        <v>销售额×税（费）率</v>
      </c>
      <c r="P52" s="2508">
        <f>F48</f>
        <v>5.6000000000000001E-2</v>
      </c>
      <c r="Q52" s="1277"/>
    </row>
    <row r="53" spans="1:17" ht="12" customHeight="1">
      <c r="A53" s="2051" t="s">
        <v>1738</v>
      </c>
      <c r="B53" s="3487" t="s">
        <v>2779</v>
      </c>
      <c r="C53" s="3476"/>
      <c r="D53" s="1069">
        <f ca="1">ROUND(D45*'数据-取费表'!E29/(1+'数据-取费表'!F30),0)</f>
        <v>18</v>
      </c>
      <c r="E53" s="2061" t="s">
        <v>1736</v>
      </c>
      <c r="F53" s="2544">
        <f>'数据-取费表'!E29</f>
        <v>5.6000000000000001E-2</v>
      </c>
      <c r="G53" s="2545"/>
      <c r="H53" s="947"/>
      <c r="I53" s="2947"/>
      <c r="J53" s="2822"/>
      <c r="K53" s="2505">
        <v>2</v>
      </c>
      <c r="L53" s="3416" t="s">
        <v>2701</v>
      </c>
      <c r="M53" s="3416"/>
      <c r="N53" s="2507">
        <f t="shared" ref="N53:P54" si="1">D55</f>
        <v>0</v>
      </c>
      <c r="O53" s="2505" t="str">
        <f t="shared" si="1"/>
        <v>销售额×税（费）率</v>
      </c>
      <c r="P53" s="2508" t="str">
        <f t="shared" si="1"/>
        <v>免征</v>
      </c>
      <c r="Q53" s="1277"/>
    </row>
    <row r="54" spans="1:17" ht="12" customHeight="1">
      <c r="A54" s="2051" t="s">
        <v>1740</v>
      </c>
      <c r="B54" s="3487" t="s">
        <v>2780</v>
      </c>
      <c r="C54" s="3476"/>
      <c r="D54" s="1069">
        <f ca="1">C68</f>
        <v>18</v>
      </c>
      <c r="E54" s="264" t="s">
        <v>1741</v>
      </c>
      <c r="F54" s="2544">
        <f>'数据-取费表'!E29</f>
        <v>5.6000000000000001E-2</v>
      </c>
      <c r="G54" s="2545"/>
      <c r="H54" s="2948"/>
      <c r="I54" s="2947"/>
      <c r="J54" s="2822"/>
      <c r="K54" s="2505">
        <v>3</v>
      </c>
      <c r="L54" s="3416" t="s">
        <v>2702</v>
      </c>
      <c r="M54" s="3416"/>
      <c r="N54" s="2507">
        <f t="shared" si="1"/>
        <v>0</v>
      </c>
      <c r="O54" s="2505" t="str">
        <f t="shared" si="1"/>
        <v>增值额×税（费）率</v>
      </c>
      <c r="P54" s="2509" t="str">
        <f t="shared" si="1"/>
        <v>免征</v>
      </c>
      <c r="Q54" s="1277"/>
    </row>
    <row r="55" spans="1:17" ht="24" customHeight="1">
      <c r="A55" s="3440" t="s">
        <v>1743</v>
      </c>
      <c r="B55" s="3436"/>
      <c r="C55" s="3436"/>
      <c r="D55" s="12">
        <f>IF(H55="个人住宅",0,ROUND(D45*I55,0))</f>
        <v>0</v>
      </c>
      <c r="E55" s="2061" t="s">
        <v>1744</v>
      </c>
      <c r="F55" s="2544" t="str">
        <f>IF(H55="正常",I55,"免征")</f>
        <v>免征</v>
      </c>
      <c r="G55" s="2545"/>
      <c r="H55" s="2536" t="s">
        <v>2683</v>
      </c>
      <c r="I55" s="74">
        <f>'数据-取费表'!E37</f>
        <v>5.0000000000000001E-4</v>
      </c>
      <c r="J55" s="2822"/>
      <c r="K55" s="2505" t="str">
        <f>IF(H59="非个人房产","",4)</f>
        <v/>
      </c>
      <c r="L55" s="3416" t="str">
        <f>IF(H59="非个人房产","——","个人所得税")</f>
        <v>——</v>
      </c>
      <c r="M55" s="3416"/>
      <c r="N55" s="2510" t="str">
        <f>D59</f>
        <v>——</v>
      </c>
      <c r="O55" s="2511" t="str">
        <f>E59</f>
        <v>——</v>
      </c>
      <c r="P55" s="2512" t="str">
        <f>F59</f>
        <v>——</v>
      </c>
      <c r="Q55" s="1277"/>
    </row>
    <row r="56" spans="1:17" ht="24.75">
      <c r="A56" s="3440" t="s">
        <v>1746</v>
      </c>
      <c r="B56" s="3436"/>
      <c r="C56" s="3436"/>
      <c r="D56" s="12">
        <f>IF(H56="个人住宅",D57,D58)</f>
        <v>0</v>
      </c>
      <c r="E56" s="2061" t="s">
        <v>1747</v>
      </c>
      <c r="F56" s="2544" t="str">
        <f>IF(H56="正常",F58,"免征")</f>
        <v>免征</v>
      </c>
      <c r="G56" s="2546" t="s">
        <v>1748</v>
      </c>
      <c r="H56" s="2547" t="s">
        <v>2683</v>
      </c>
      <c r="I56" s="2949"/>
      <c r="J56" s="2822"/>
      <c r="K56" s="2505" t="str">
        <f>IF(项目基本情况!I6="上海银行",IF(K55="",4,K55+1),"")</f>
        <v/>
      </c>
      <c r="L56" s="3414" t="str">
        <f>IF(项目基本情况!I6="上海银行","其他处置费用","")</f>
        <v/>
      </c>
      <c r="M56" s="3434"/>
      <c r="N56" s="2507" t="str">
        <f>IF(项目基本情况!I6="上海银行",N69,"")</f>
        <v/>
      </c>
      <c r="O56" s="3414" t="str">
        <f>IF(项目基本情况!I6="上海银行","包含处置中涉及的律师、诉讼、拍卖、评估等费用","")</f>
        <v/>
      </c>
      <c r="P56" s="3415"/>
      <c r="Q56" s="1277"/>
    </row>
    <row r="57" spans="1:17" ht="12.75">
      <c r="A57" s="2051" t="s">
        <v>1723</v>
      </c>
      <c r="B57" s="3487" t="s">
        <v>1749</v>
      </c>
      <c r="C57" s="3476"/>
      <c r="D57" s="2537">
        <v>0</v>
      </c>
      <c r="E57" s="261" t="s">
        <v>1725</v>
      </c>
      <c r="F57" s="235"/>
      <c r="G57" s="2545"/>
      <c r="H57" s="2949"/>
      <c r="I57" s="2949"/>
      <c r="J57" s="2822"/>
      <c r="K57" s="3416">
        <f>IF(AND(K55="",K56=""),4,IF(项目基本情况!I6="上海银行",K56+1,K55+1))</f>
        <v>4</v>
      </c>
      <c r="L57" s="3416" t="s">
        <v>2703</v>
      </c>
      <c r="M57" s="2513" t="s">
        <v>2704</v>
      </c>
      <c r="N57" s="2514"/>
      <c r="O57" s="2515">
        <f ca="1">SUMIF(N52:N56,"&lt;9e307")</f>
        <v>18</v>
      </c>
      <c r="P57" s="2516"/>
      <c r="Q57" s="1275">
        <f ca="1">O57/N49</f>
        <v>5.2173913043478258E-2</v>
      </c>
    </row>
    <row r="58" spans="1:17" ht="24.75">
      <c r="A58" s="2051" t="s">
        <v>1734</v>
      </c>
      <c r="B58" s="3487" t="s">
        <v>1752</v>
      </c>
      <c r="C58" s="3475"/>
      <c r="D58" s="12">
        <f ca="1">IF(H58="转让取得",C81,C97)</f>
        <v>196</v>
      </c>
      <c r="E58" s="2061" t="s">
        <v>1747</v>
      </c>
      <c r="F58" s="235" t="s">
        <v>48</v>
      </c>
      <c r="G58" s="2545"/>
      <c r="H58" s="2547" t="s">
        <v>1753</v>
      </c>
      <c r="I58" s="2949"/>
      <c r="J58" s="2822"/>
      <c r="K58" s="3416"/>
      <c r="L58" s="3416"/>
      <c r="M58" s="2513" t="s">
        <v>2705</v>
      </c>
      <c r="N58" s="2517"/>
      <c r="O58" s="2518" t="str">
        <f ca="1">IF(H19="元",NUMBERSTRING(INT(O57),2)&amp;"元整",NUMBERSTRING(INT(O57*10000),2)&amp;"元整")</f>
        <v>壹拾捌万元整</v>
      </c>
      <c r="P58" s="2519"/>
      <c r="Q58" s="1277"/>
    </row>
    <row r="59" spans="1:17" ht="24.75" thickBot="1">
      <c r="A59" s="3503" t="s">
        <v>1755</v>
      </c>
      <c r="B59" s="3504"/>
      <c r="C59" s="3504"/>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2" t="s">
        <v>2758</v>
      </c>
      <c r="H59" s="2065" t="s">
        <v>2768</v>
      </c>
      <c r="I59" s="2851" t="s">
        <v>2769</v>
      </c>
      <c r="J59" s="2822"/>
      <c r="K59" s="3469">
        <f>K57+1</f>
        <v>5</v>
      </c>
      <c r="L59" s="3416" t="s">
        <v>2706</v>
      </c>
      <c r="M59" s="2505" t="s">
        <v>2704</v>
      </c>
      <c r="N59" s="2520"/>
      <c r="O59" s="2521">
        <f ca="1">N49-O57</f>
        <v>327</v>
      </c>
      <c r="P59" s="2522"/>
      <c r="Q59" s="1277"/>
    </row>
    <row r="60" spans="1:17" ht="12" customHeight="1">
      <c r="A60" s="1426"/>
      <c r="B60" s="1430"/>
      <c r="C60" s="1430"/>
      <c r="D60" s="1430"/>
      <c r="E60" s="812"/>
      <c r="F60" s="2950"/>
      <c r="G60" s="2950"/>
      <c r="H60" s="2951"/>
      <c r="I60" s="31"/>
      <c r="K60" s="3470"/>
      <c r="L60" s="3416"/>
      <c r="M60" s="2513" t="s">
        <v>2705</v>
      </c>
      <c r="N60" s="2517"/>
      <c r="O60" s="2518" t="str">
        <f ca="1">IF(H19="元",NUMBERSTRING(INT(O59),2)&amp;"元整",NUMBERSTRING(INT(O59*10000),2)&amp;"元整")</f>
        <v>叁佰贰拾柒万元整</v>
      </c>
      <c r="P60" s="2519"/>
      <c r="Q60" s="1277"/>
    </row>
    <row r="61" spans="1:17" ht="13.5" thickBot="1">
      <c r="A61" s="3505" t="s">
        <v>1757</v>
      </c>
      <c r="B61" s="3505"/>
      <c r="C61" s="3505"/>
      <c r="D61" s="3505"/>
      <c r="E61" s="3505"/>
      <c r="F61" s="2950"/>
      <c r="G61" s="2950"/>
      <c r="H61" s="2952"/>
      <c r="I61" s="31"/>
      <c r="K61" s="2505">
        <f>K59+1</f>
        <v>6</v>
      </c>
      <c r="L61" s="3416" t="s">
        <v>2707</v>
      </c>
      <c r="M61" s="3416"/>
      <c r="N61" s="2523"/>
      <c r="O61" s="2524">
        <f ca="1">IF(H19="元",ROUND(O59/项目基本情况!C12,0),ROUND(O59*10000/项目基本情况!C12,0))</f>
        <v>8312</v>
      </c>
      <c r="P61" s="2525"/>
      <c r="Q61" s="1277"/>
    </row>
    <row r="62" spans="1:17" ht="12.75">
      <c r="A62" s="3454" t="s">
        <v>1759</v>
      </c>
      <c r="B62" s="3455"/>
      <c r="C62" s="1576"/>
      <c r="D62" s="1576" t="s">
        <v>1760</v>
      </c>
      <c r="E62" s="45" t="s">
        <v>1761</v>
      </c>
      <c r="F62" s="2950"/>
      <c r="G62" s="2950"/>
      <c r="H62" s="2952"/>
      <c r="I62" s="31"/>
      <c r="K62" s="2526"/>
      <c r="L62" s="2526"/>
      <c r="M62" s="2526"/>
      <c r="N62" s="2526"/>
      <c r="O62" s="2526"/>
      <c r="P62" s="2526"/>
      <c r="Q62" s="1277"/>
    </row>
    <row r="63" spans="1:17" ht="12.75">
      <c r="A63" s="46">
        <v>1</v>
      </c>
      <c r="B63" s="47" t="s">
        <v>1762</v>
      </c>
      <c r="C63" s="2753">
        <f ca="1">ROUND((C64+C65)/(1+'数据-取费表'!F30),0)</f>
        <v>329</v>
      </c>
      <c r="D63" s="47"/>
      <c r="E63" s="48"/>
      <c r="F63" s="2950"/>
      <c r="G63" s="2950"/>
      <c r="H63" s="2952"/>
      <c r="I63" s="31"/>
      <c r="K63" s="3435" t="s">
        <v>2708</v>
      </c>
      <c r="L63" s="2527" t="s">
        <v>2709</v>
      </c>
      <c r="M63" s="2527">
        <f ca="1">IF(N49&gt;10000,N49*0.5%,IF(AND(N49&gt;1000,N49&lt;=10000),N49*1%,IF(AND(N49&gt;100,N49&lt;=1000),N49*3%,IF(AND(N49&gt;10,N49&lt;=100),N49*5%,N49*8%))))</f>
        <v>10.35</v>
      </c>
      <c r="N63" s="2528">
        <f ca="1">ROUND(M63,1)</f>
        <v>10.4</v>
      </c>
      <c r="O63" s="2526"/>
      <c r="P63" s="2526"/>
      <c r="Q63" s="1277"/>
    </row>
    <row r="64" spans="1:17" ht="12.75">
      <c r="A64" s="49" t="s">
        <v>71</v>
      </c>
      <c r="B64" s="50" t="s">
        <v>1765</v>
      </c>
      <c r="C64" s="2754">
        <f ca="1">D45</f>
        <v>345</v>
      </c>
      <c r="D64" s="50" t="s">
        <v>41</v>
      </c>
      <c r="E64" s="52"/>
      <c r="F64" s="2950"/>
      <c r="G64" s="2950"/>
      <c r="H64" s="2952"/>
      <c r="I64" s="31"/>
      <c r="K64" s="3435"/>
      <c r="L64" s="2527" t="s">
        <v>2710</v>
      </c>
      <c r="M64" s="2527">
        <f ca="1">IF(N49&gt;2000,N49*0.5%,IF(AND(N49&gt;1000,N49&lt;=2000),N49*0.6%,IF(AND(N49&gt;500,N49&lt;=1000),N49*0.7%,IF(AND(N49&gt;200,N49&lt;=500),N49*0.8%,IF(AND(N49&gt;100,N49&lt;=200),N49*0.9%,IF(AND(N49&gt;50,N49&lt;=100),N49*1%,IF(AND(N49&gt;20,N49&lt;=50),N49*1.5%,IF(AND(N49&gt;10,N49&lt;=20),N49*2%,IF(AND(N49&gt;1,N49&lt;=10),N49*2.5%)))))))))</f>
        <v>2.7600000000000002</v>
      </c>
      <c r="N64" s="2528">
        <f t="shared" ref="N64:N65" ca="1" si="2">ROUND(M64,1)</f>
        <v>2.8</v>
      </c>
      <c r="O64" s="2526" t="s">
        <v>2711</v>
      </c>
      <c r="P64" s="2526"/>
      <c r="Q64" s="1277"/>
    </row>
    <row r="65" spans="1:36" ht="12.75">
      <c r="A65" s="49" t="s">
        <v>72</v>
      </c>
      <c r="B65" s="50" t="s">
        <v>1768</v>
      </c>
      <c r="C65" s="2755"/>
      <c r="D65" s="50"/>
      <c r="E65" s="52"/>
      <c r="F65" s="2950"/>
      <c r="G65" s="2950"/>
      <c r="H65" s="2952"/>
      <c r="I65" s="31"/>
      <c r="K65" s="3435"/>
      <c r="L65" s="2527" t="s">
        <v>2712</v>
      </c>
      <c r="M65" s="2527">
        <f ca="1">IF(N49&gt;1000,N49*0.1%,IF(AND(N49&gt;500,N49&lt;=1000),N49*0.5%,IF(AND(N49&gt;50,N49&lt;=500),N49*1%,IF(AND(N49&gt;1,N49&lt;=50),N49*1.5%))))</f>
        <v>3.45</v>
      </c>
      <c r="N65" s="2528">
        <f t="shared" ca="1" si="2"/>
        <v>3.5</v>
      </c>
      <c r="O65" s="2526" t="s">
        <v>2711</v>
      </c>
      <c r="P65" s="2526"/>
      <c r="Q65" s="1277"/>
    </row>
    <row r="66" spans="1:36" ht="12.75">
      <c r="A66" s="53" t="s">
        <v>47</v>
      </c>
      <c r="B66" s="54" t="s">
        <v>1770</v>
      </c>
      <c r="C66" s="2756"/>
      <c r="D66" s="54" t="s">
        <v>41</v>
      </c>
      <c r="E66" s="1285" t="s">
        <v>1771</v>
      </c>
      <c r="F66" s="2950"/>
      <c r="G66" s="2950"/>
      <c r="H66" s="2952"/>
      <c r="I66" s="31"/>
      <c r="K66" s="3435"/>
      <c r="L66" s="2527" t="s">
        <v>2713</v>
      </c>
      <c r="M66" s="2527">
        <f ca="1">N49*0.5%</f>
        <v>1.7250000000000001</v>
      </c>
      <c r="N66" s="2528">
        <f ca="1">IF(M66&gt;0.5,0.5,ROUND(M66,0))</f>
        <v>0.5</v>
      </c>
      <c r="O66" s="2526" t="s">
        <v>2714</v>
      </c>
      <c r="P66" s="2526"/>
      <c r="Q66" s="1277"/>
    </row>
    <row r="67" spans="1:36" ht="12.75">
      <c r="A67" s="53" t="s">
        <v>42</v>
      </c>
      <c r="B67" s="54" t="s">
        <v>1774</v>
      </c>
      <c r="C67" s="2757">
        <f ca="1">C63-C66</f>
        <v>329</v>
      </c>
      <c r="D67" s="50" t="s">
        <v>41</v>
      </c>
      <c r="E67" s="52"/>
      <c r="F67" s="2950"/>
      <c r="G67" s="2950"/>
      <c r="H67" s="2952"/>
      <c r="I67" s="31"/>
      <c r="K67" s="3435"/>
      <c r="L67" s="2527" t="s">
        <v>2715</v>
      </c>
      <c r="M67" s="2527">
        <f ca="1">IF(N49&gt;=10000,(8.25+(N49-10000)*0.01%),IF(AND(N49&gt;=8000,N49&lt;10000),(7.85+(N49-8000)*0.02%),IF(AND(N49&gt;=5000,N49&lt;8000),(6.65+(N49-5000)*0.04%),IF(AND(N49&gt;=2000,N49&lt;5000),(4.25+(PN49-2000)*0.08%),IF(AND(N49&gt;=1000,N49&lt;2000),(2.75+(N49-1000)*0.15%),IF(AND(N49&gt;=100,N49&lt;1000),(0.5+(N49-100)*0.25%),IF(AND(N49&gt;0,N49&lt;100),N49*0.5%)))))))</f>
        <v>1.1125</v>
      </c>
      <c r="N67" s="2528">
        <f ca="1">ROUND(M67*0.9,1)</f>
        <v>1</v>
      </c>
      <c r="O67" s="2526"/>
      <c r="P67" s="2526"/>
      <c r="Q67" s="1277"/>
    </row>
    <row r="68" spans="1:36" ht="13.5" thickBot="1">
      <c r="A68" s="55" t="s">
        <v>46</v>
      </c>
      <c r="B68" s="56" t="s">
        <v>1776</v>
      </c>
      <c r="C68" s="2758">
        <f ca="1">IF(C67&lt;=0,0,ROUND(C67*D68,0))</f>
        <v>18</v>
      </c>
      <c r="D68" s="2211">
        <f>'数据-取费表'!E29</f>
        <v>5.6000000000000001E-2</v>
      </c>
      <c r="E68" s="57"/>
      <c r="F68" s="2950"/>
      <c r="G68" s="2950"/>
      <c r="H68" s="2952"/>
      <c r="I68" s="31"/>
      <c r="K68" s="3435"/>
      <c r="L68" s="2527" t="s">
        <v>2716</v>
      </c>
      <c r="M68" s="2527">
        <f ca="1">IF(N49&gt;10000,N49*0.5%,IF(AND(N49&gt;5000,N49&lt;=10000),N49*1%,IF(AND(N49&gt;1000,N49&lt;=5000),N49*2%,IF(AND(N49&gt;200,N49&lt;=1000),N49*3%,N49*5%))))</f>
        <v>10.35</v>
      </c>
      <c r="N68" s="2528">
        <f ca="1">ROUND(M68,1)</f>
        <v>10.4</v>
      </c>
      <c r="O68" s="2526"/>
      <c r="P68" s="2526"/>
      <c r="Q68" s="1277"/>
    </row>
    <row r="69" spans="1:36" s="1434" customFormat="1" ht="7.5" customHeight="1">
      <c r="A69" s="1446"/>
      <c r="B69" s="1447"/>
      <c r="C69" s="1448"/>
      <c r="D69" s="1449"/>
      <c r="E69" s="1450"/>
      <c r="F69" s="812"/>
      <c r="G69" s="812"/>
      <c r="H69" s="1439"/>
      <c r="I69" s="1430"/>
      <c r="J69" s="2810"/>
      <c r="K69" s="3435"/>
      <c r="L69" s="2527" t="s">
        <v>54</v>
      </c>
      <c r="M69" s="2527"/>
      <c r="N69" s="2528">
        <f ca="1">ROUND(SUM(N63:N68),0)</f>
        <v>29</v>
      </c>
      <c r="O69" s="2529">
        <f ca="1">N69/N49</f>
        <v>8.4057971014492749E-2</v>
      </c>
      <c r="P69" s="2526"/>
      <c r="Q69" s="1277"/>
      <c r="R69" s="659"/>
      <c r="S69" s="659"/>
      <c r="T69" s="659"/>
      <c r="U69" s="659"/>
      <c r="V69" s="659"/>
      <c r="W69" s="659"/>
      <c r="X69" s="659"/>
      <c r="Y69" s="659"/>
      <c r="Z69" s="659"/>
      <c r="AA69" s="659"/>
      <c r="AB69" s="1277"/>
      <c r="AC69" s="1277"/>
      <c r="AD69" s="1277"/>
      <c r="AE69" s="1277"/>
      <c r="AF69" s="1277"/>
      <c r="AG69" s="1277"/>
      <c r="AH69" s="1277"/>
      <c r="AI69" s="1277"/>
      <c r="AJ69" s="1277"/>
    </row>
    <row r="70" spans="1:36" s="1452" customFormat="1" ht="15" thickBot="1">
      <c r="A70" s="3456" t="s">
        <v>1779</v>
      </c>
      <c r="B70" s="3457"/>
      <c r="C70" s="3457"/>
      <c r="D70" s="3457"/>
      <c r="E70" s="3457"/>
      <c r="F70" s="3457"/>
      <c r="G70" s="3457"/>
      <c r="H70" s="3457"/>
      <c r="I70" s="1451"/>
      <c r="J70" s="2823"/>
      <c r="P70" s="976"/>
      <c r="Q70" s="976"/>
      <c r="R70" s="976"/>
      <c r="S70" s="976"/>
      <c r="T70" s="976"/>
      <c r="U70" s="976"/>
      <c r="V70" s="976"/>
      <c r="W70" s="976"/>
      <c r="X70" s="976"/>
      <c r="Y70" s="976"/>
      <c r="Z70" s="976"/>
      <c r="AA70" s="976"/>
      <c r="AB70" s="1453"/>
      <c r="AC70" s="1453"/>
      <c r="AD70" s="1453"/>
      <c r="AE70" s="1453"/>
      <c r="AF70" s="1453"/>
      <c r="AG70" s="1453"/>
      <c r="AH70" s="1453"/>
      <c r="AI70" s="1453"/>
      <c r="AJ70" s="1453"/>
    </row>
    <row r="71" spans="1:36" s="1452" customFormat="1" ht="14.25">
      <c r="A71" s="3454" t="s">
        <v>1759</v>
      </c>
      <c r="B71" s="3455"/>
      <c r="C71" s="1576"/>
      <c r="D71" s="1576" t="s">
        <v>1760</v>
      </c>
      <c r="E71" s="58" t="s">
        <v>1761</v>
      </c>
      <c r="F71" s="59"/>
      <c r="G71" s="59"/>
      <c r="H71" s="60"/>
      <c r="I71" s="1454"/>
      <c r="J71" s="2824"/>
      <c r="P71" s="976"/>
      <c r="Q71" s="976"/>
      <c r="R71" s="976"/>
      <c r="S71" s="976"/>
      <c r="T71" s="976"/>
      <c r="U71" s="976"/>
      <c r="V71" s="976"/>
      <c r="W71" s="976"/>
      <c r="X71" s="976"/>
      <c r="Y71" s="976"/>
      <c r="Z71" s="976"/>
      <c r="AA71" s="976"/>
      <c r="AB71" s="1453"/>
      <c r="AC71" s="1453"/>
      <c r="AD71" s="1453"/>
      <c r="AE71" s="1453"/>
      <c r="AF71" s="1453"/>
      <c r="AG71" s="1453"/>
      <c r="AH71" s="1453"/>
      <c r="AI71" s="1453"/>
      <c r="AJ71" s="1453"/>
    </row>
    <row r="72" spans="1:36" s="1452" customFormat="1" ht="14.25">
      <c r="A72" s="61">
        <v>1</v>
      </c>
      <c r="B72" s="54" t="s">
        <v>1780</v>
      </c>
      <c r="C72" s="2757">
        <f ca="1">ROUND(D45/(1+'数据-取费表'!F30),0)</f>
        <v>329</v>
      </c>
      <c r="D72" s="50" t="s">
        <v>41</v>
      </c>
      <c r="E72" s="12" t="s">
        <v>1781</v>
      </c>
      <c r="F72" s="2058"/>
      <c r="G72" s="2058"/>
      <c r="H72" s="62"/>
      <c r="I72" s="1454"/>
      <c r="J72" s="2824"/>
      <c r="P72" s="976"/>
      <c r="Q72" s="976"/>
      <c r="R72" s="976"/>
      <c r="S72" s="976"/>
      <c r="T72" s="976"/>
      <c r="U72" s="976"/>
      <c r="V72" s="976"/>
      <c r="W72" s="976"/>
      <c r="X72" s="976"/>
      <c r="Y72" s="976"/>
      <c r="Z72" s="976"/>
      <c r="AA72" s="976"/>
      <c r="AB72" s="1453"/>
      <c r="AC72" s="1453"/>
      <c r="AD72" s="1453"/>
      <c r="AE72" s="1453"/>
      <c r="AF72" s="1453"/>
      <c r="AG72" s="1453"/>
      <c r="AH72" s="1453"/>
      <c r="AI72" s="1453"/>
      <c r="AJ72" s="1453"/>
    </row>
    <row r="73" spans="1:36" s="1452" customFormat="1" ht="14.25">
      <c r="A73" s="63">
        <v>2</v>
      </c>
      <c r="B73" s="41" t="s">
        <v>1782</v>
      </c>
      <c r="C73" s="2757">
        <f ca="1">C74+C78</f>
        <v>2</v>
      </c>
      <c r="D73" s="50" t="s">
        <v>41</v>
      </c>
      <c r="E73" s="2057"/>
      <c r="F73" s="2058"/>
      <c r="G73" s="2058"/>
      <c r="H73" s="62"/>
      <c r="I73" s="1454"/>
      <c r="J73" s="2824"/>
      <c r="P73" s="976"/>
      <c r="Q73" s="976"/>
      <c r="R73" s="976"/>
      <c r="S73" s="976"/>
      <c r="T73" s="976"/>
      <c r="U73" s="976"/>
      <c r="V73" s="976"/>
      <c r="W73" s="976"/>
      <c r="X73" s="976"/>
      <c r="Y73" s="976"/>
      <c r="Z73" s="976"/>
      <c r="AA73" s="976"/>
      <c r="AB73" s="1453"/>
      <c r="AC73" s="1453"/>
      <c r="AD73" s="1453"/>
      <c r="AE73" s="1453"/>
      <c r="AF73" s="1453"/>
      <c r="AG73" s="1453"/>
      <c r="AH73" s="1453"/>
      <c r="AI73" s="1453"/>
      <c r="AJ73" s="1453"/>
    </row>
    <row r="74" spans="1:36" s="1452" customFormat="1" ht="24">
      <c r="A74" s="49" t="s">
        <v>73</v>
      </c>
      <c r="B74" s="50" t="s">
        <v>1783</v>
      </c>
      <c r="C74" s="50">
        <f>ROUND(IF(G77="2016年5月1日后购买",C75/(1+'数据-取费表'!F30)+C76+C77,C75+C76+C77),0)</f>
        <v>0</v>
      </c>
      <c r="D74" s="50" t="s">
        <v>41</v>
      </c>
      <c r="E74" s="2057"/>
      <c r="F74" s="2058"/>
      <c r="G74" s="2058"/>
      <c r="H74" s="62"/>
      <c r="I74" s="1454"/>
      <c r="J74" s="2824"/>
      <c r="P74" s="976"/>
      <c r="Q74" s="976"/>
      <c r="R74" s="976"/>
      <c r="S74" s="976"/>
      <c r="T74" s="976"/>
      <c r="U74" s="976"/>
      <c r="V74" s="976"/>
      <c r="W74" s="976"/>
      <c r="X74" s="976"/>
      <c r="Y74" s="976"/>
      <c r="Z74" s="976"/>
      <c r="AA74" s="976"/>
      <c r="AB74" s="1453"/>
      <c r="AC74" s="1453"/>
      <c r="AD74" s="1453"/>
      <c r="AE74" s="1453"/>
      <c r="AF74" s="1453"/>
      <c r="AG74" s="1453"/>
      <c r="AH74" s="1453"/>
      <c r="AI74" s="1453"/>
      <c r="AJ74" s="1453"/>
    </row>
    <row r="75" spans="1:36" s="1452" customFormat="1" ht="14.25">
      <c r="A75" s="49" t="s">
        <v>74</v>
      </c>
      <c r="B75" s="50" t="s">
        <v>1784</v>
      </c>
      <c r="C75" s="2237"/>
      <c r="D75" s="50" t="s">
        <v>41</v>
      </c>
      <c r="E75" s="64" t="s">
        <v>1785</v>
      </c>
      <c r="F75" s="2761" t="s">
        <v>1786</v>
      </c>
      <c r="G75" s="64" t="s">
        <v>1787</v>
      </c>
      <c r="H75" s="2762"/>
      <c r="I75" s="9"/>
      <c r="J75" s="2825"/>
      <c r="P75" s="976"/>
      <c r="Q75" s="976"/>
      <c r="R75" s="976"/>
      <c r="S75" s="976"/>
      <c r="T75" s="976"/>
      <c r="U75" s="976"/>
      <c r="V75" s="976"/>
      <c r="W75" s="976"/>
      <c r="X75" s="976"/>
      <c r="Y75" s="976"/>
      <c r="Z75" s="976"/>
      <c r="AA75" s="976"/>
      <c r="AB75" s="1453"/>
      <c r="AC75" s="1453"/>
      <c r="AD75" s="1453"/>
      <c r="AE75" s="1453"/>
      <c r="AF75" s="1453"/>
      <c r="AG75" s="1453"/>
      <c r="AH75" s="1453"/>
      <c r="AI75" s="1453"/>
      <c r="AJ75" s="1453"/>
    </row>
    <row r="76" spans="1:36" s="1452" customFormat="1" ht="24.75" customHeight="1">
      <c r="A76" s="49" t="s">
        <v>75</v>
      </c>
      <c r="B76" s="65" t="s">
        <v>1788</v>
      </c>
      <c r="C76" s="50">
        <f>IF(F75="购房发票",ROUND(C75*H75*D76,0),0)</f>
        <v>0</v>
      </c>
      <c r="D76" s="2763">
        <v>0.05</v>
      </c>
      <c r="E76" s="3487" t="s">
        <v>1789</v>
      </c>
      <c r="F76" s="3475"/>
      <c r="G76" s="3475"/>
      <c r="H76" s="3488"/>
      <c r="I76" s="1454"/>
      <c r="J76" s="2824"/>
      <c r="P76" s="976"/>
      <c r="Q76" s="976"/>
      <c r="R76" s="976"/>
      <c r="S76" s="976"/>
      <c r="T76" s="976"/>
      <c r="U76" s="976"/>
      <c r="V76" s="976"/>
      <c r="W76" s="976"/>
      <c r="X76" s="976"/>
      <c r="Y76" s="976"/>
      <c r="Z76" s="976"/>
      <c r="AA76" s="976"/>
      <c r="AB76" s="1453"/>
      <c r="AC76" s="1453"/>
      <c r="AD76" s="1453"/>
      <c r="AE76" s="1453"/>
      <c r="AF76" s="1453"/>
      <c r="AG76" s="1453"/>
      <c r="AH76" s="1453"/>
      <c r="AI76" s="1453"/>
      <c r="AJ76" s="1453"/>
    </row>
    <row r="77" spans="1:36" s="1452" customFormat="1" ht="24.75" customHeight="1">
      <c r="A77" s="49" t="s">
        <v>76</v>
      </c>
      <c r="B77" s="50" t="s">
        <v>1790</v>
      </c>
      <c r="C77" s="50">
        <f>ROUND(IF(G77="个人住宅",0,IF(G77="2016年5月1日前购买",C75*D77,C75*D77/(1+'数据-取费表'!F30))),0)</f>
        <v>0</v>
      </c>
      <c r="D77" s="2764">
        <f>'数据-取费表'!E36+'数据-取费表'!E37</f>
        <v>3.0499999999999999E-2</v>
      </c>
      <c r="E77" s="12" t="s">
        <v>1791</v>
      </c>
      <c r="F77" s="2064"/>
      <c r="G77" s="1455" t="s">
        <v>1792</v>
      </c>
      <c r="H77" s="2059" t="str">
        <f>IF(G77="个人买卖住房","免征印花税"," ")</f>
        <v xml:space="preserve"> </v>
      </c>
      <c r="I77" s="1454"/>
      <c r="J77" s="2824"/>
      <c r="K77" s="976"/>
      <c r="L77" s="976"/>
      <c r="M77" s="976"/>
      <c r="N77" s="976"/>
      <c r="O77" s="976"/>
      <c r="P77" s="976"/>
      <c r="Q77" s="976"/>
      <c r="R77" s="976"/>
      <c r="S77" s="976"/>
      <c r="T77" s="976"/>
      <c r="U77" s="976"/>
      <c r="V77" s="976"/>
      <c r="W77" s="976"/>
      <c r="X77" s="976"/>
      <c r="Y77" s="976"/>
      <c r="Z77" s="976"/>
      <c r="AA77" s="976"/>
      <c r="AB77" s="1453"/>
      <c r="AC77" s="1453"/>
      <c r="AD77" s="1453"/>
      <c r="AE77" s="1453"/>
      <c r="AF77" s="1453"/>
      <c r="AG77" s="1453"/>
      <c r="AH77" s="1453"/>
      <c r="AI77" s="1453"/>
      <c r="AJ77" s="1453"/>
    </row>
    <row r="78" spans="1:36" s="1452" customFormat="1" ht="24.75" customHeight="1">
      <c r="A78" s="49" t="s">
        <v>77</v>
      </c>
      <c r="B78" s="50" t="s">
        <v>1793</v>
      </c>
      <c r="C78" s="2765">
        <f ca="1">ROUND(D45*D78/(1+'数据-取费表'!F30),0)</f>
        <v>2</v>
      </c>
      <c r="D78" s="2766">
        <f>'数据-取费表'!E31</f>
        <v>6.000000000000001E-3</v>
      </c>
      <c r="E78" s="3423" t="s">
        <v>1794</v>
      </c>
      <c r="F78" s="3424"/>
      <c r="G78" s="3424"/>
      <c r="H78" s="3444"/>
      <c r="I78" s="1456"/>
      <c r="J78" s="2826"/>
      <c r="K78" s="976"/>
      <c r="L78" s="976"/>
      <c r="M78" s="976"/>
      <c r="N78" s="976"/>
      <c r="O78" s="976"/>
      <c r="P78" s="976"/>
      <c r="Q78" s="976"/>
      <c r="R78" s="976"/>
      <c r="S78" s="976"/>
      <c r="T78" s="976"/>
      <c r="U78" s="976"/>
      <c r="V78" s="976"/>
      <c r="W78" s="976"/>
      <c r="X78" s="976"/>
      <c r="Y78" s="976"/>
      <c r="Z78" s="976"/>
      <c r="AA78" s="976"/>
      <c r="AB78" s="1453"/>
      <c r="AC78" s="1453"/>
      <c r="AD78" s="1453"/>
      <c r="AE78" s="1453"/>
      <c r="AF78" s="1453"/>
      <c r="AG78" s="1453"/>
      <c r="AH78" s="1453"/>
      <c r="AI78" s="1453"/>
      <c r="AJ78" s="1453"/>
    </row>
    <row r="79" spans="1:36" s="1452" customFormat="1" ht="14.25">
      <c r="A79" s="53" t="s">
        <v>42</v>
      </c>
      <c r="B79" s="54" t="s">
        <v>1795</v>
      </c>
      <c r="C79" s="2757">
        <f ca="1">C72-C73</f>
        <v>327</v>
      </c>
      <c r="D79" s="50" t="s">
        <v>41</v>
      </c>
      <c r="E79" s="2057"/>
      <c r="F79" s="2058"/>
      <c r="G79" s="2058"/>
      <c r="H79" s="62"/>
      <c r="I79" s="1454"/>
      <c r="J79" s="2824"/>
      <c r="K79" s="976"/>
      <c r="L79" s="976"/>
      <c r="M79" s="976"/>
      <c r="N79" s="976"/>
      <c r="O79" s="976"/>
      <c r="P79" s="976"/>
      <c r="Q79" s="976"/>
      <c r="R79" s="976"/>
      <c r="S79" s="976"/>
      <c r="T79" s="976"/>
      <c r="U79" s="976"/>
      <c r="V79" s="976"/>
      <c r="W79" s="976"/>
      <c r="X79" s="976"/>
      <c r="Y79" s="976"/>
      <c r="Z79" s="976"/>
      <c r="AA79" s="976"/>
      <c r="AB79" s="1453"/>
      <c r="AC79" s="1453"/>
      <c r="AD79" s="1453"/>
      <c r="AE79" s="1453"/>
      <c r="AF79" s="1453"/>
      <c r="AG79" s="1453"/>
      <c r="AH79" s="1453"/>
      <c r="AI79" s="1453"/>
      <c r="AJ79" s="1453"/>
    </row>
    <row r="80" spans="1:36" s="1452" customFormat="1" ht="24">
      <c r="A80" s="53" t="s">
        <v>43</v>
      </c>
      <c r="B80" s="54" t="s">
        <v>1796</v>
      </c>
      <c r="C80" s="2767">
        <f ca="1">IF(C79&lt;=0,0,C79/C73)</f>
        <v>163.5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4"/>
      <c r="J80" s="2824"/>
      <c r="K80" s="976"/>
      <c r="L80" s="976"/>
      <c r="M80" s="976"/>
      <c r="N80" s="976"/>
      <c r="O80" s="976"/>
      <c r="P80" s="976"/>
      <c r="Q80" s="976"/>
      <c r="R80" s="976"/>
      <c r="S80" s="976"/>
      <c r="T80" s="976"/>
      <c r="U80" s="976"/>
      <c r="V80" s="976"/>
      <c r="W80" s="976"/>
      <c r="X80" s="976"/>
      <c r="Y80" s="976"/>
      <c r="Z80" s="976"/>
      <c r="AA80" s="976"/>
      <c r="AB80" s="1453"/>
      <c r="AC80" s="1453"/>
      <c r="AD80" s="1453"/>
      <c r="AE80" s="1453"/>
      <c r="AF80" s="1453"/>
      <c r="AG80" s="1453"/>
      <c r="AH80" s="1453"/>
      <c r="AI80" s="1453"/>
      <c r="AJ80" s="1453"/>
    </row>
    <row r="81" spans="1:36" s="1452" customFormat="1" ht="24.75" thickBot="1">
      <c r="A81" s="55" t="s">
        <v>44</v>
      </c>
      <c r="B81" s="56" t="s">
        <v>1797</v>
      </c>
      <c r="C81" s="2768">
        <f ca="1">ROUND(IF(C79&lt;=0,0,IF(C80&gt;=200%,C79*60%-C73*35%,IF(C80&gt;=100%,C79*50%-C73*15%,IF(C80&gt;=50%,C79*40%-C73*5%,IF(C80&lt;50%,C79*30%,0))))),0)</f>
        <v>196</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4"/>
      <c r="J81" s="2824"/>
      <c r="K81" s="976"/>
      <c r="L81" s="976"/>
      <c r="M81" s="976"/>
      <c r="N81" s="976"/>
      <c r="O81" s="976"/>
      <c r="P81" s="976"/>
      <c r="Q81" s="976"/>
      <c r="R81" s="976"/>
      <c r="S81" s="976"/>
      <c r="T81" s="976"/>
      <c r="U81" s="976"/>
      <c r="V81" s="976"/>
      <c r="W81" s="976"/>
      <c r="X81" s="976"/>
      <c r="Y81" s="976"/>
      <c r="Z81" s="976"/>
      <c r="AA81" s="976"/>
      <c r="AB81" s="1453"/>
      <c r="AC81" s="1453"/>
      <c r="AD81" s="1453"/>
      <c r="AE81" s="1453"/>
      <c r="AF81" s="1453"/>
      <c r="AG81" s="1453"/>
      <c r="AH81" s="1453"/>
      <c r="AI81" s="1453"/>
      <c r="AJ81" s="1453"/>
    </row>
    <row r="82" spans="1:36" s="1452" customFormat="1" ht="7.5" customHeight="1">
      <c r="A82" s="607"/>
      <c r="B82" s="608"/>
      <c r="C82" s="9"/>
      <c r="D82" s="9"/>
      <c r="E82" s="608"/>
      <c r="F82" s="608"/>
      <c r="G82" s="608"/>
      <c r="H82" s="609"/>
      <c r="I82" s="1456"/>
      <c r="J82" s="2826"/>
      <c r="K82" s="976"/>
      <c r="L82" s="976"/>
      <c r="M82" s="976"/>
      <c r="N82" s="976"/>
      <c r="O82" s="976"/>
      <c r="P82" s="976"/>
      <c r="Q82" s="976"/>
      <c r="R82" s="976"/>
      <c r="S82" s="976"/>
      <c r="T82" s="976"/>
      <c r="U82" s="976"/>
      <c r="V82" s="976"/>
      <c r="W82" s="976"/>
      <c r="X82" s="976"/>
      <c r="Y82" s="976"/>
      <c r="Z82" s="976"/>
      <c r="AA82" s="976"/>
      <c r="AB82" s="1453"/>
      <c r="AC82" s="1453"/>
      <c r="AD82" s="1453"/>
      <c r="AE82" s="1453"/>
      <c r="AF82" s="1453"/>
      <c r="AG82" s="1453"/>
      <c r="AH82" s="1453"/>
      <c r="AI82" s="1453"/>
      <c r="AJ82" s="1453"/>
    </row>
    <row r="83" spans="1:36" s="1452" customFormat="1" ht="15" thickBot="1">
      <c r="A83" s="3456" t="s">
        <v>1798</v>
      </c>
      <c r="B83" s="3457"/>
      <c r="C83" s="3457"/>
      <c r="D83" s="3457"/>
      <c r="E83" s="3457"/>
      <c r="F83" s="3457"/>
      <c r="G83" s="3457"/>
      <c r="H83" s="3457"/>
      <c r="I83" s="9"/>
      <c r="J83" s="2825"/>
      <c r="K83" s="976"/>
      <c r="L83" s="976"/>
      <c r="M83" s="976"/>
      <c r="N83" s="976"/>
      <c r="O83" s="976"/>
      <c r="P83" s="976"/>
      <c r="Q83" s="976"/>
      <c r="R83" s="976"/>
      <c r="S83" s="976"/>
      <c r="T83" s="976"/>
      <c r="U83" s="976"/>
      <c r="V83" s="976"/>
      <c r="W83" s="976"/>
      <c r="X83" s="976"/>
      <c r="Y83" s="976"/>
      <c r="Z83" s="976"/>
      <c r="AA83" s="976"/>
      <c r="AB83" s="1453"/>
      <c r="AC83" s="1453"/>
      <c r="AD83" s="1453"/>
      <c r="AE83" s="1453"/>
      <c r="AF83" s="1453"/>
      <c r="AG83" s="1453"/>
      <c r="AH83" s="1453"/>
      <c r="AI83" s="1453"/>
      <c r="AJ83" s="1453"/>
    </row>
    <row r="84" spans="1:36" s="1452" customFormat="1" ht="14.25">
      <c r="A84" s="3454" t="s">
        <v>1759</v>
      </c>
      <c r="B84" s="3455"/>
      <c r="C84" s="1576"/>
      <c r="D84" s="1576" t="s">
        <v>1760</v>
      </c>
      <c r="E84" s="58" t="s">
        <v>1761</v>
      </c>
      <c r="F84" s="59"/>
      <c r="G84" s="59"/>
      <c r="H84" s="72"/>
      <c r="I84" s="9"/>
      <c r="J84" s="2825"/>
      <c r="K84" s="976"/>
      <c r="L84" s="976"/>
      <c r="M84" s="976"/>
      <c r="N84" s="976"/>
      <c r="O84" s="976"/>
      <c r="P84" s="976"/>
      <c r="Q84" s="976"/>
      <c r="R84" s="976"/>
      <c r="S84" s="976"/>
      <c r="T84" s="976"/>
      <c r="U84" s="976"/>
      <c r="V84" s="976"/>
      <c r="W84" s="976"/>
      <c r="X84" s="976"/>
      <c r="Y84" s="976"/>
      <c r="Z84" s="976"/>
      <c r="AA84" s="976"/>
      <c r="AB84" s="1453"/>
      <c r="AC84" s="1453"/>
      <c r="AD84" s="1453"/>
      <c r="AE84" s="1453"/>
      <c r="AF84" s="1453"/>
      <c r="AG84" s="1453"/>
      <c r="AH84" s="1453"/>
      <c r="AI84" s="1453"/>
      <c r="AJ84" s="1453"/>
    </row>
    <row r="85" spans="1:36" s="1452" customFormat="1" ht="24">
      <c r="A85" s="61">
        <v>1</v>
      </c>
      <c r="B85" s="54" t="s">
        <v>1780</v>
      </c>
      <c r="C85" s="2757">
        <f ca="1">ROUND(D45/(1+'数据-取费表'!F30),0)</f>
        <v>329</v>
      </c>
      <c r="D85" s="50" t="s">
        <v>41</v>
      </c>
      <c r="E85" s="2057" t="s">
        <v>1781</v>
      </c>
      <c r="F85" s="2058"/>
      <c r="G85" s="2058"/>
      <c r="H85" s="73"/>
      <c r="I85" s="9"/>
      <c r="J85" s="2825"/>
      <c r="K85" s="976"/>
      <c r="L85" s="976"/>
      <c r="M85" s="976"/>
      <c r="N85" s="976"/>
      <c r="O85" s="976"/>
      <c r="P85" s="976"/>
      <c r="Q85" s="976"/>
      <c r="R85" s="976"/>
      <c r="S85" s="976"/>
      <c r="T85" s="976"/>
      <c r="U85" s="976"/>
      <c r="V85" s="976"/>
      <c r="W85" s="976"/>
      <c r="X85" s="976"/>
      <c r="Y85" s="976"/>
      <c r="Z85" s="976"/>
      <c r="AA85" s="976"/>
      <c r="AB85" s="1453"/>
      <c r="AC85" s="1453"/>
      <c r="AD85" s="1453"/>
      <c r="AE85" s="1453"/>
      <c r="AF85" s="1453"/>
      <c r="AG85" s="1453"/>
      <c r="AH85" s="1453"/>
      <c r="AI85" s="1453"/>
      <c r="AJ85" s="1453"/>
    </row>
    <row r="86" spans="1:36" s="1452" customFormat="1" ht="14.25">
      <c r="A86" s="63">
        <v>2</v>
      </c>
      <c r="B86" s="41" t="s">
        <v>1782</v>
      </c>
      <c r="C86" s="2757">
        <f ca="1">IF(H88="仅含出让金",C87+C90+C91+C92+C93+C94,C87+C91+C92+C93+C94)</f>
        <v>2</v>
      </c>
      <c r="D86" s="2769"/>
      <c r="E86" s="2057"/>
      <c r="F86" s="2058"/>
      <c r="G86" s="2058"/>
      <c r="H86" s="73"/>
      <c r="I86" s="9"/>
      <c r="J86" s="2825"/>
      <c r="K86" s="976"/>
      <c r="L86" s="976"/>
      <c r="M86" s="976"/>
      <c r="N86" s="976"/>
      <c r="O86" s="976"/>
      <c r="P86" s="976"/>
      <c r="Q86" s="976"/>
      <c r="R86" s="976"/>
      <c r="S86" s="976"/>
      <c r="T86" s="976"/>
      <c r="U86" s="976"/>
      <c r="V86" s="976"/>
      <c r="W86" s="976"/>
      <c r="X86" s="976"/>
      <c r="Y86" s="976"/>
      <c r="Z86" s="976"/>
      <c r="AA86" s="976"/>
      <c r="AB86" s="1453"/>
      <c r="AC86" s="1453"/>
      <c r="AD86" s="1453"/>
      <c r="AE86" s="1453"/>
      <c r="AF86" s="1453"/>
      <c r="AG86" s="1453"/>
      <c r="AH86" s="1453"/>
      <c r="AI86" s="1453"/>
      <c r="AJ86" s="1453"/>
    </row>
    <row r="87" spans="1:36" s="1452" customFormat="1" ht="14.25">
      <c r="A87" s="49" t="s">
        <v>73</v>
      </c>
      <c r="B87" s="50" t="s">
        <v>1799</v>
      </c>
      <c r="C87" s="2765">
        <f>C88+C89</f>
        <v>0</v>
      </c>
      <c r="D87" s="2766"/>
      <c r="E87" s="2054"/>
      <c r="F87" s="2055"/>
      <c r="G87" s="2055"/>
      <c r="H87" s="2056"/>
      <c r="I87" s="9"/>
      <c r="J87" s="2825"/>
      <c r="K87" s="976"/>
      <c r="L87" s="976"/>
      <c r="M87" s="976"/>
      <c r="N87" s="976"/>
      <c r="O87" s="976"/>
      <c r="P87" s="976"/>
      <c r="Q87" s="976"/>
      <c r="R87" s="976"/>
      <c r="S87" s="976"/>
      <c r="T87" s="976"/>
      <c r="U87" s="976"/>
      <c r="V87" s="976"/>
      <c r="W87" s="976"/>
      <c r="X87" s="976"/>
      <c r="Y87" s="976"/>
      <c r="Z87" s="976"/>
      <c r="AA87" s="976"/>
      <c r="AB87" s="1453"/>
      <c r="AC87" s="1453"/>
      <c r="AD87" s="1453"/>
      <c r="AE87" s="1453"/>
      <c r="AF87" s="1453"/>
      <c r="AG87" s="1453"/>
      <c r="AH87" s="1453"/>
      <c r="AI87" s="1453"/>
      <c r="AJ87" s="1453"/>
    </row>
    <row r="88" spans="1:36" s="1452" customFormat="1" ht="14.25">
      <c r="A88" s="49" t="s">
        <v>74</v>
      </c>
      <c r="B88" s="50" t="s">
        <v>1800</v>
      </c>
      <c r="C88" s="2770"/>
      <c r="D88" s="2766"/>
      <c r="E88" s="74" t="s">
        <v>1801</v>
      </c>
      <c r="F88" s="2055"/>
      <c r="G88" s="75" t="s">
        <v>1802</v>
      </c>
      <c r="H88" s="1457"/>
      <c r="I88" s="9"/>
      <c r="J88" s="2825"/>
      <c r="K88" s="2941" t="s">
        <v>2762</v>
      </c>
      <c r="L88" s="1453"/>
      <c r="M88" s="1453"/>
      <c r="N88" s="1453"/>
      <c r="O88" s="1453"/>
      <c r="P88" s="1453"/>
      <c r="Q88" s="1453"/>
      <c r="R88" s="1453"/>
      <c r="S88" s="1453"/>
      <c r="T88" s="976"/>
      <c r="U88" s="976"/>
      <c r="V88" s="976"/>
      <c r="W88" s="976"/>
      <c r="X88" s="976"/>
      <c r="Y88" s="976"/>
      <c r="Z88" s="976"/>
      <c r="AA88" s="976"/>
      <c r="AB88" s="1453"/>
      <c r="AC88" s="1453"/>
      <c r="AD88" s="1453"/>
      <c r="AE88" s="1453"/>
      <c r="AF88" s="1453"/>
      <c r="AG88" s="1453"/>
      <c r="AH88" s="1453"/>
      <c r="AI88" s="1453"/>
      <c r="AJ88" s="1453"/>
    </row>
    <row r="89" spans="1:36" s="1452" customFormat="1" ht="14.25">
      <c r="A89" s="49" t="s">
        <v>75</v>
      </c>
      <c r="B89" s="50" t="s">
        <v>1790</v>
      </c>
      <c r="C89" s="2765">
        <f>ROUND(C88*D89,0)</f>
        <v>0</v>
      </c>
      <c r="D89" s="2766">
        <f>'数据-取费表'!E36+'数据-取费表'!E37</f>
        <v>3.0499999999999999E-2</v>
      </c>
      <c r="E89" s="74" t="s">
        <v>1803</v>
      </c>
      <c r="F89" s="2055"/>
      <c r="G89" s="2055"/>
      <c r="H89" s="2056"/>
      <c r="I89" s="9"/>
      <c r="J89" s="2825"/>
      <c r="K89" s="976"/>
      <c r="L89" s="976"/>
      <c r="M89" s="976"/>
      <c r="N89" s="976"/>
      <c r="O89" s="976"/>
      <c r="P89" s="976"/>
      <c r="Q89" s="976"/>
      <c r="R89" s="976"/>
      <c r="S89" s="976"/>
      <c r="T89" s="976"/>
      <c r="U89" s="976"/>
      <c r="V89" s="976"/>
      <c r="W89" s="976"/>
      <c r="X89" s="976"/>
      <c r="Y89" s="976"/>
      <c r="Z89" s="976"/>
      <c r="AA89" s="976"/>
      <c r="AB89" s="1453"/>
      <c r="AC89" s="1453"/>
      <c r="AD89" s="1453"/>
      <c r="AE89" s="1453"/>
      <c r="AF89" s="1453"/>
      <c r="AG89" s="1453"/>
      <c r="AH89" s="1453"/>
      <c r="AI89" s="1453"/>
      <c r="AJ89" s="1453"/>
    </row>
    <row r="90" spans="1:36" s="1452" customFormat="1" ht="24" customHeight="1">
      <c r="A90" s="49" t="s">
        <v>77</v>
      </c>
      <c r="B90" s="50" t="s">
        <v>1804</v>
      </c>
      <c r="C90" s="2770"/>
      <c r="D90" s="2766"/>
      <c r="E90" s="74" t="str">
        <f>IF(H88="-","土地取得成本中已包含该笔费用"," ")</f>
        <v xml:space="preserve"> </v>
      </c>
      <c r="F90" s="2055"/>
      <c r="G90" s="3463" t="s">
        <v>2678</v>
      </c>
      <c r="H90" s="3463"/>
      <c r="I90" s="9"/>
      <c r="J90" s="2825"/>
      <c r="K90" s="2941" t="s">
        <v>2763</v>
      </c>
      <c r="L90" s="1453"/>
      <c r="M90" s="1453"/>
      <c r="N90" s="1453"/>
      <c r="O90" s="1453"/>
      <c r="P90" s="1453"/>
      <c r="Q90" s="1453"/>
      <c r="R90" s="1453"/>
      <c r="S90" s="1453"/>
      <c r="T90" s="1453"/>
      <c r="U90" s="976"/>
      <c r="V90" s="976"/>
      <c r="W90" s="976"/>
      <c r="X90" s="976"/>
      <c r="Y90" s="976"/>
      <c r="Z90" s="976"/>
      <c r="AA90" s="976"/>
      <c r="AB90" s="1453"/>
      <c r="AC90" s="1453"/>
      <c r="AD90" s="1453"/>
      <c r="AE90" s="1453"/>
      <c r="AF90" s="1453"/>
      <c r="AG90" s="1453"/>
      <c r="AH90" s="1453"/>
      <c r="AI90" s="1453"/>
      <c r="AJ90" s="1453"/>
    </row>
    <row r="91" spans="1:36" s="1452" customFormat="1" ht="30.75" customHeight="1">
      <c r="A91" s="49" t="s">
        <v>78</v>
      </c>
      <c r="B91" s="50" t="s">
        <v>1805</v>
      </c>
      <c r="C91" s="2765">
        <f>IF(H91="——",成本法!C33,I91)</f>
        <v>0</v>
      </c>
      <c r="D91" s="2766"/>
      <c r="E91" s="3423" t="s">
        <v>1806</v>
      </c>
      <c r="F91" s="3424"/>
      <c r="G91" s="3424"/>
      <c r="H91" s="1458" t="s">
        <v>1807</v>
      </c>
      <c r="I91" s="1459"/>
      <c r="J91" s="2827"/>
      <c r="K91" s="976"/>
      <c r="L91" s="976"/>
      <c r="M91" s="976"/>
      <c r="N91" s="976"/>
      <c r="O91" s="976"/>
      <c r="P91" s="976"/>
      <c r="Q91" s="976"/>
      <c r="R91" s="976"/>
      <c r="S91" s="976"/>
      <c r="T91" s="976"/>
      <c r="U91" s="976"/>
      <c r="V91" s="976"/>
      <c r="W91" s="976"/>
      <c r="X91" s="976"/>
      <c r="Y91" s="976"/>
      <c r="Z91" s="976"/>
      <c r="AA91" s="976"/>
      <c r="AB91" s="1453"/>
      <c r="AC91" s="1453"/>
      <c r="AD91" s="1453"/>
      <c r="AE91" s="1453"/>
      <c r="AF91" s="1453"/>
      <c r="AG91" s="1453"/>
      <c r="AH91" s="1453"/>
      <c r="AI91" s="1453"/>
      <c r="AJ91" s="1453"/>
    </row>
    <row r="92" spans="1:36" s="1452" customFormat="1" ht="25.5" customHeight="1">
      <c r="A92" s="49" t="s">
        <v>79</v>
      </c>
      <c r="B92" s="50" t="s">
        <v>1808</v>
      </c>
      <c r="C92" s="2765">
        <f>ROUND((C87+C90+C91)*D92,0)</f>
        <v>0</v>
      </c>
      <c r="D92" s="2809">
        <v>0.1</v>
      </c>
      <c r="E92" s="3423" t="s">
        <v>1809</v>
      </c>
      <c r="F92" s="3424"/>
      <c r="G92" s="3424"/>
      <c r="H92" s="3444"/>
      <c r="I92" s="9"/>
      <c r="J92" s="2825"/>
      <c r="K92" s="2942" t="s">
        <v>2764</v>
      </c>
      <c r="L92" s="1453"/>
      <c r="M92" s="1453"/>
      <c r="N92" s="1453"/>
      <c r="O92" s="1453"/>
      <c r="P92" s="1453"/>
      <c r="Q92" s="976"/>
      <c r="R92" s="976"/>
      <c r="S92" s="976"/>
      <c r="T92" s="976"/>
      <c r="U92" s="976"/>
      <c r="V92" s="976"/>
      <c r="W92" s="976"/>
      <c r="X92" s="976"/>
      <c r="Y92" s="976"/>
      <c r="Z92" s="976"/>
      <c r="AA92" s="976"/>
      <c r="AB92" s="1453"/>
      <c r="AC92" s="1453"/>
      <c r="AD92" s="1453"/>
      <c r="AE92" s="1453"/>
      <c r="AF92" s="1453"/>
      <c r="AG92" s="1453"/>
      <c r="AH92" s="1453"/>
      <c r="AI92" s="1453"/>
      <c r="AJ92" s="1453"/>
    </row>
    <row r="93" spans="1:36" s="1452" customFormat="1" ht="25.5" customHeight="1">
      <c r="A93" s="49" t="s">
        <v>80</v>
      </c>
      <c r="B93" s="50" t="s">
        <v>1793</v>
      </c>
      <c r="C93" s="2765">
        <f ca="1">ROUND(D45*D93/(1+'数据-取费表'!F30),0)</f>
        <v>2</v>
      </c>
      <c r="D93" s="2766">
        <f>'数据-取费表'!E31</f>
        <v>6.000000000000001E-3</v>
      </c>
      <c r="E93" s="3423" t="s">
        <v>1794</v>
      </c>
      <c r="F93" s="3424"/>
      <c r="G93" s="3424"/>
      <c r="H93" s="3444"/>
      <c r="I93" s="9"/>
      <c r="J93" s="2825"/>
      <c r="K93" s="976"/>
      <c r="L93" s="976"/>
      <c r="M93" s="976"/>
      <c r="N93" s="976"/>
      <c r="O93" s="976"/>
      <c r="P93" s="976"/>
      <c r="Q93" s="976"/>
      <c r="R93" s="976"/>
      <c r="S93" s="976"/>
      <c r="T93" s="976"/>
      <c r="U93" s="976"/>
      <c r="V93" s="976"/>
      <c r="W93" s="976"/>
      <c r="X93" s="976"/>
      <c r="Y93" s="976"/>
      <c r="Z93" s="976"/>
      <c r="AA93" s="976"/>
      <c r="AB93" s="1453"/>
      <c r="AC93" s="1453"/>
      <c r="AD93" s="1453"/>
      <c r="AE93" s="1453"/>
      <c r="AF93" s="1453"/>
      <c r="AG93" s="1453"/>
      <c r="AH93" s="1453"/>
      <c r="AI93" s="1453"/>
      <c r="AJ93" s="1453"/>
    </row>
    <row r="94" spans="1:36" s="1452" customFormat="1" ht="25.5" customHeight="1">
      <c r="A94" s="49" t="s">
        <v>81</v>
      </c>
      <c r="B94" s="50" t="s">
        <v>1810</v>
      </c>
      <c r="C94" s="2765">
        <f>ROUND((C87+C90+C91)*D94,0)</f>
        <v>0</v>
      </c>
      <c r="D94" s="2766">
        <v>0.2</v>
      </c>
      <c r="E94" s="3423" t="s">
        <v>1811</v>
      </c>
      <c r="F94" s="3424"/>
      <c r="G94" s="3424"/>
      <c r="H94" s="3444"/>
      <c r="I94" s="9"/>
      <c r="J94" s="2825"/>
      <c r="K94" s="976"/>
      <c r="L94" s="976"/>
      <c r="M94" s="976"/>
      <c r="N94" s="976"/>
      <c r="O94" s="976"/>
      <c r="P94" s="976"/>
      <c r="Q94" s="976"/>
      <c r="R94" s="976"/>
      <c r="S94" s="976"/>
      <c r="T94" s="976"/>
      <c r="U94" s="976"/>
      <c r="V94" s="976"/>
      <c r="W94" s="976"/>
      <c r="X94" s="976"/>
      <c r="Y94" s="976"/>
      <c r="Z94" s="976"/>
      <c r="AA94" s="976"/>
      <c r="AB94" s="1453"/>
      <c r="AC94" s="1453"/>
      <c r="AD94" s="1453"/>
      <c r="AE94" s="1453"/>
      <c r="AF94" s="1453"/>
      <c r="AG94" s="1453"/>
      <c r="AH94" s="1453"/>
      <c r="AI94" s="1453"/>
      <c r="AJ94" s="1453"/>
    </row>
    <row r="95" spans="1:36" s="1452" customFormat="1" ht="14.25">
      <c r="A95" s="53" t="s">
        <v>42</v>
      </c>
      <c r="B95" s="54" t="s">
        <v>1795</v>
      </c>
      <c r="C95" s="2757">
        <f ca="1">ROUND(C85-C86,0)</f>
        <v>327</v>
      </c>
      <c r="D95" s="50" t="s">
        <v>41</v>
      </c>
      <c r="E95" s="2057"/>
      <c r="F95" s="2058"/>
      <c r="G95" s="2058"/>
      <c r="H95" s="73"/>
      <c r="I95" s="9"/>
      <c r="J95" s="2825"/>
      <c r="K95" s="976"/>
      <c r="L95" s="976"/>
      <c r="M95" s="976"/>
      <c r="N95" s="976"/>
      <c r="O95" s="976"/>
      <c r="P95" s="976"/>
      <c r="Q95" s="976"/>
      <c r="R95" s="976"/>
      <c r="S95" s="976"/>
      <c r="T95" s="976"/>
      <c r="U95" s="976"/>
      <c r="V95" s="976"/>
      <c r="W95" s="976"/>
      <c r="X95" s="976"/>
      <c r="Y95" s="976"/>
      <c r="Z95" s="976"/>
      <c r="AA95" s="976"/>
      <c r="AB95" s="1453"/>
      <c r="AC95" s="1453"/>
      <c r="AD95" s="1453"/>
      <c r="AE95" s="1453"/>
      <c r="AF95" s="1453"/>
      <c r="AG95" s="1453"/>
      <c r="AH95" s="1453"/>
      <c r="AI95" s="1453"/>
      <c r="AJ95" s="1453"/>
    </row>
    <row r="96" spans="1:36" s="1452" customFormat="1" ht="24">
      <c r="A96" s="53" t="s">
        <v>43</v>
      </c>
      <c r="B96" s="54" t="s">
        <v>1796</v>
      </c>
      <c r="C96" s="2767">
        <f ca="1">IF(C95&lt;=0,0,C95/C86)</f>
        <v>163.5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5"/>
      <c r="K96" s="976"/>
      <c r="L96" s="976"/>
      <c r="M96" s="976"/>
      <c r="N96" s="976"/>
      <c r="O96" s="976"/>
      <c r="P96" s="976"/>
      <c r="Q96" s="976"/>
      <c r="R96" s="976"/>
      <c r="S96" s="976"/>
      <c r="T96" s="976"/>
      <c r="U96" s="976"/>
      <c r="V96" s="976"/>
      <c r="W96" s="976"/>
      <c r="X96" s="976"/>
      <c r="Y96" s="976"/>
      <c r="Z96" s="976"/>
      <c r="AA96" s="976"/>
      <c r="AB96" s="1453"/>
      <c r="AC96" s="1453"/>
      <c r="AD96" s="1453"/>
      <c r="AE96" s="1453"/>
      <c r="AF96" s="1453"/>
      <c r="AG96" s="1453"/>
      <c r="AH96" s="1453"/>
      <c r="AI96" s="1453"/>
      <c r="AJ96" s="1453"/>
    </row>
    <row r="97" spans="1:36" s="1452" customFormat="1" ht="24.75" thickBot="1">
      <c r="A97" s="55" t="s">
        <v>44</v>
      </c>
      <c r="B97" s="56" t="s">
        <v>1797</v>
      </c>
      <c r="C97" s="2768">
        <f ca="1">ROUND(IF(C95&lt;=0,0,IF(C96&gt;=200%,C95*60%-C86*35%,IF(C96&gt;=100%,C95*50%-C86*15%,IF(C96&gt;=50%,C95*40%-C86*5%,IF(C96&lt;50%,C95*30%,0))))),0)</f>
        <v>196</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3"/>
      <c r="AC97" s="1453"/>
      <c r="AD97" s="1453"/>
      <c r="AE97" s="1453"/>
      <c r="AF97" s="1453"/>
      <c r="AG97" s="1453"/>
      <c r="AH97" s="1453"/>
      <c r="AI97" s="1453"/>
      <c r="AJ97" s="1453"/>
    </row>
    <row r="98" spans="1:36" ht="21.75" customHeight="1" thickBot="1">
      <c r="A98" s="1440" t="s">
        <v>1812</v>
      </c>
      <c r="B98" s="1430"/>
      <c r="C98" s="1430"/>
      <c r="D98" s="1430"/>
      <c r="E98" s="812"/>
      <c r="F98" s="812"/>
      <c r="G98" s="812"/>
      <c r="H98" s="1439"/>
      <c r="I98" s="1430"/>
    </row>
    <row r="99" spans="1:36" ht="15.75">
      <c r="A99" s="3441" t="s">
        <v>1813</v>
      </c>
      <c r="B99" s="3442"/>
      <c r="C99" s="3442"/>
      <c r="D99" s="3443"/>
      <c r="E99" s="1430"/>
      <c r="F99" s="3451" t="s">
        <v>1814</v>
      </c>
      <c r="G99" s="3452"/>
      <c r="H99" s="3452"/>
      <c r="I99" s="3453"/>
      <c r="J99" s="2828"/>
    </row>
    <row r="100" spans="1:36" ht="15">
      <c r="A100" s="3458" t="s">
        <v>1815</v>
      </c>
      <c r="B100" s="3459"/>
      <c r="C100" s="1276" t="str">
        <f>C4</f>
        <v>比较法-办公</v>
      </c>
      <c r="D100" s="2776" t="str">
        <f>D4</f>
        <v>收益法</v>
      </c>
      <c r="E100" s="1430"/>
      <c r="F100" s="3460" t="s">
        <v>2722</v>
      </c>
      <c r="G100" s="3462"/>
      <c r="H100" s="3460" t="s">
        <v>2723</v>
      </c>
      <c r="I100" s="3461"/>
      <c r="J100" s="2829"/>
    </row>
    <row r="101" spans="1:36" ht="12.75">
      <c r="A101" s="3477" t="s">
        <v>2755</v>
      </c>
      <c r="B101" s="2276" t="str">
        <f>IF(H19="元","总价（元）","总价（万元）")</f>
        <v>总价（万元）</v>
      </c>
      <c r="C101" s="1276">
        <f ca="1">C19</f>
        <v>393</v>
      </c>
      <c r="D101" s="2776">
        <f ca="1">D19</f>
        <v>234</v>
      </c>
      <c r="E101" s="1430"/>
      <c r="F101" s="3460" t="str">
        <f>项目基本情况!I1</f>
        <v>北京市房地产</v>
      </c>
      <c r="G101" s="3462"/>
      <c r="H101" s="3464">
        <f>项目基本情况!C12</f>
        <v>393.43</v>
      </c>
      <c r="I101" s="3461"/>
      <c r="J101" s="2829"/>
    </row>
    <row r="102" spans="1:36" ht="12.75">
      <c r="A102" s="3477"/>
      <c r="B102" s="2276" t="s">
        <v>2756</v>
      </c>
      <c r="C102" s="2777">
        <f ca="1">C20</f>
        <v>31287</v>
      </c>
      <c r="D102" s="2778">
        <f ca="1">D20</f>
        <v>18650</v>
      </c>
      <c r="E102" s="1430"/>
      <c r="F102" s="3447" t="s">
        <v>2752</v>
      </c>
      <c r="G102" s="3448"/>
      <c r="H102" s="2786" t="str">
        <f>C106</f>
        <v>总价（万元）</v>
      </c>
      <c r="I102" s="2787">
        <f ca="1">H121</f>
        <v>345</v>
      </c>
      <c r="J102" s="2829"/>
    </row>
    <row r="103" spans="1:36" ht="12.75">
      <c r="A103" s="3477" t="s">
        <v>2757</v>
      </c>
      <c r="B103" s="2214" t="str">
        <f>B101</f>
        <v>总价（万元）</v>
      </c>
      <c r="C103" s="2781">
        <f ca="1">H121</f>
        <v>345</v>
      </c>
      <c r="D103" s="2779"/>
      <c r="E103" s="1430"/>
      <c r="F103" s="3447"/>
      <c r="G103" s="3448"/>
      <c r="H103" s="2786" t="s">
        <v>2725</v>
      </c>
      <c r="I103" s="52">
        <f ca="1">I121</f>
        <v>8769</v>
      </c>
      <c r="J103" s="2813"/>
    </row>
    <row r="104" spans="1:36" ht="13.5" thickBot="1">
      <c r="A104" s="3478"/>
      <c r="B104" s="2783" t="s">
        <v>2756</v>
      </c>
      <c r="C104" s="2784">
        <f ca="1">I121</f>
        <v>8769</v>
      </c>
      <c r="D104" s="2785"/>
      <c r="E104" s="1430"/>
      <c r="F104" s="3447"/>
      <c r="G104" s="3448"/>
      <c r="H104" s="3479"/>
      <c r="I104" s="3480"/>
      <c r="J104" s="2830"/>
    </row>
    <row r="105" spans="1:36" ht="15">
      <c r="A105" s="3441" t="s">
        <v>1816</v>
      </c>
      <c r="B105" s="3442"/>
      <c r="C105" s="3442"/>
      <c r="D105" s="3443"/>
      <c r="E105" s="1430"/>
      <c r="F105" s="3483" t="s">
        <v>2726</v>
      </c>
      <c r="G105" s="3484"/>
      <c r="H105" s="2788" t="str">
        <f>C108</f>
        <v>总额（万元）</v>
      </c>
      <c r="I105" s="2787">
        <f>SUMIF(I106:I108,"&lt;9E307")</f>
        <v>0</v>
      </c>
      <c r="J105" s="2829"/>
    </row>
    <row r="106" spans="1:36" ht="14.25">
      <c r="A106" s="3447" t="s">
        <v>2749</v>
      </c>
      <c r="B106" s="3448"/>
      <c r="C106" s="2786" t="str">
        <f>B101</f>
        <v>总价（万元）</v>
      </c>
      <c r="D106" s="2787">
        <f ca="1">H121</f>
        <v>345</v>
      </c>
      <c r="E106" s="1430"/>
      <c r="F106" s="3449" t="s">
        <v>2727</v>
      </c>
      <c r="G106" s="3450"/>
      <c r="H106" s="2788" t="str">
        <f>C109</f>
        <v>总额（万元）</v>
      </c>
      <c r="I106" s="2789">
        <f>IF(D36="同一抵押权人同一抵押物续贷",C36&amp;"（续贷，未扣减，详见特别提示）",C36)</f>
        <v>0</v>
      </c>
      <c r="J106" s="2813"/>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47"/>
      <c r="B107" s="3448"/>
      <c r="C107" s="2786" t="s">
        <v>2750</v>
      </c>
      <c r="D107" s="52">
        <f ca="1">I121</f>
        <v>8769</v>
      </c>
      <c r="E107" s="1430"/>
      <c r="F107" s="3449" t="s">
        <v>2728</v>
      </c>
      <c r="G107" s="3450"/>
      <c r="H107" s="2788" t="str">
        <f>C110</f>
        <v>总额（万元）</v>
      </c>
      <c r="I107" s="52">
        <f>C37</f>
        <v>0</v>
      </c>
      <c r="J107" s="2813"/>
    </row>
    <row r="108" spans="1:36" ht="12.75">
      <c r="A108" s="3518" t="s">
        <v>2726</v>
      </c>
      <c r="B108" s="3519"/>
      <c r="C108" s="2788" t="str">
        <f>IF(H19="元","总额（元）","总额（万元）")</f>
        <v>总额（万元）</v>
      </c>
      <c r="D108" s="2787">
        <f>IF(D36="正常操作",I106+I107+I108,I107+I108)</f>
        <v>0</v>
      </c>
      <c r="E108" s="1430"/>
      <c r="F108" s="3449" t="s">
        <v>2753</v>
      </c>
      <c r="G108" s="3450"/>
      <c r="H108" s="2788" t="str">
        <f>C111</f>
        <v>总额（万元）</v>
      </c>
      <c r="I108" s="52">
        <f>C38</f>
        <v>0</v>
      </c>
      <c r="J108" s="2813"/>
    </row>
    <row r="109" spans="1:36" ht="12.75">
      <c r="A109" s="3449" t="s">
        <v>2727</v>
      </c>
      <c r="B109" s="3450"/>
      <c r="C109" s="2788" t="str">
        <f>C108</f>
        <v>总额（万元）</v>
      </c>
      <c r="D109" s="52">
        <f>IF(D36="同一抵押权人同一抵押物续贷",C36&amp;"（未扣减，详见特别提示）",C36)</f>
        <v>0</v>
      </c>
      <c r="E109" s="1430"/>
      <c r="F109" s="3447"/>
      <c r="G109" s="3448"/>
      <c r="H109" s="3481"/>
      <c r="I109" s="3482"/>
      <c r="J109" s="2831"/>
    </row>
    <row r="110" spans="1:36" ht="28.5" customHeight="1">
      <c r="A110" s="3449" t="s">
        <v>2751</v>
      </c>
      <c r="B110" s="3450"/>
      <c r="C110" s="2788" t="str">
        <f>C108</f>
        <v>总额（万元）</v>
      </c>
      <c r="D110" s="52">
        <f>C37</f>
        <v>0</v>
      </c>
      <c r="E110" s="1430"/>
      <c r="F110" s="3430" t="str">
        <f>IF(项目基本情况!F5="已注销","——","3.房地产抵押价值")</f>
        <v>3.房地产抵押价值</v>
      </c>
      <c r="G110" s="3431"/>
      <c r="H110" s="2774" t="str">
        <f>C112</f>
        <v>总价（万元）</v>
      </c>
      <c r="I110" s="2787">
        <f ca="1">IF(F110="——","——",I102-I105)</f>
        <v>345</v>
      </c>
      <c r="J110" s="2829"/>
    </row>
    <row r="111" spans="1:36" ht="12.75">
      <c r="A111" s="3449" t="s">
        <v>2730</v>
      </c>
      <c r="B111" s="3450"/>
      <c r="C111" s="2788" t="str">
        <f>C108</f>
        <v>总额（万元）</v>
      </c>
      <c r="D111" s="52">
        <f>C38</f>
        <v>0</v>
      </c>
      <c r="E111" s="1430"/>
      <c r="F111" s="3432"/>
      <c r="G111" s="3433"/>
      <c r="H111" s="2786" t="s">
        <v>2725</v>
      </c>
      <c r="I111" s="2790">
        <f ca="1">D113</f>
        <v>8769</v>
      </c>
      <c r="J111" s="2832"/>
    </row>
    <row r="112" spans="1:36" ht="26.25" customHeight="1">
      <c r="A112" s="3447" t="str">
        <f>IF(项目基本情况!F5="已注销","——","3.房地产抵押价值")</f>
        <v>3.房地产抵押价值</v>
      </c>
      <c r="B112" s="3448"/>
      <c r="C112" s="2786" t="str">
        <f>B101</f>
        <v>总价（万元）</v>
      </c>
      <c r="D112" s="2787">
        <f ca="1">IF(A112="——","——",D106-D108)</f>
        <v>345</v>
      </c>
      <c r="E112" s="1430"/>
      <c r="F112" s="3430" t="str">
        <f>IF(项目基本情况!F5="已注销及未注销","4.抵押担保权已注销时的房地产抵押价值",IF(项目基本情况!F5="已注销","3.抵押担保权已注销时的房地产抵押价值","——"))</f>
        <v>——</v>
      </c>
      <c r="G112" s="3431"/>
      <c r="H112" s="2774" t="str">
        <f>C114</f>
        <v>总价（万元）</v>
      </c>
      <c r="I112" s="2787" t="str">
        <f>IF(F112="——","——",I102-I107-I108)</f>
        <v>——</v>
      </c>
      <c r="J112" s="2829"/>
    </row>
    <row r="113" spans="1:16" ht="12.75">
      <c r="A113" s="3447"/>
      <c r="B113" s="3448"/>
      <c r="C113" s="2786" t="s">
        <v>2718</v>
      </c>
      <c r="D113" s="52">
        <f ca="1">ROUND(IF(D112=D106,D107,IF(H19="元",D112/项目基本情况!C12,D112*10000/项目基本情况!C12)),0)</f>
        <v>8769</v>
      </c>
      <c r="E113" s="1430"/>
      <c r="F113" s="3432"/>
      <c r="G113" s="3433"/>
      <c r="H113" s="2786" t="s">
        <v>2754</v>
      </c>
      <c r="I113" s="52" t="str">
        <f>D115</f>
        <v>——</v>
      </c>
      <c r="J113" s="2813"/>
    </row>
    <row r="114" spans="1:16" ht="12.75">
      <c r="A114" s="3447" t="str">
        <f>IF(项目基本情况!F5="已注销及未注销","4.抵押担保权已注销时的房地产抵押价值",IF(项目基本情况!F5="已注销","3.抵押担保权已注销时的房地产抵押价值","——"))</f>
        <v>——</v>
      </c>
      <c r="B114" s="3448"/>
      <c r="C114" s="2786" t="str">
        <f>B101</f>
        <v>总价（万元）</v>
      </c>
      <c r="D114" s="2787" t="str">
        <f>IF(A114="——","——",D106-D110-D111)</f>
        <v>——</v>
      </c>
      <c r="E114" s="1430"/>
      <c r="F114" s="3430" t="str">
        <f>IF(项目基本情况!G5="抵押净值",IF(OR(项目基本情况!F5="已注销",项目基本情况!F5="房地产抵押价值"),"4.抵押净值","5.抵押净值"),"——")</f>
        <v>——</v>
      </c>
      <c r="G114" s="3431"/>
      <c r="H114" s="2786" t="str">
        <f>C116</f>
        <v>总价（万元）</v>
      </c>
      <c r="I114" s="2787" t="str">
        <f>IF(F114="——","——",O59)</f>
        <v>——</v>
      </c>
      <c r="J114" s="2829"/>
    </row>
    <row r="115" spans="1:16" ht="13.5" thickBot="1">
      <c r="A115" s="3447"/>
      <c r="B115" s="3448"/>
      <c r="C115" s="2786" t="s">
        <v>2718</v>
      </c>
      <c r="D115" s="52" t="str">
        <f>IF(A114="——","——",ROUND(IF(D114=D106,D107,IF(H19="元",D114/项目基本情况!C12,D114*10000/项目基本情况!C12)),0))</f>
        <v>——</v>
      </c>
      <c r="E115" s="1430"/>
      <c r="F115" s="3510"/>
      <c r="G115" s="3511"/>
      <c r="H115" s="2791" t="s">
        <v>2718</v>
      </c>
      <c r="I115" s="2775" t="str">
        <f ca="1">D117</f>
        <v>——</v>
      </c>
      <c r="J115" s="2813"/>
    </row>
    <row r="116" spans="1:16" ht="15.75">
      <c r="A116" s="3447" t="str">
        <f>IF(项目基本情况!G5="抵押净值",IF(OR(项目基本情况!F5="已注销",项目基本情况!F5="房地产抵押价值"),"4.抵押净值","5.抵押净值"),"——")</f>
        <v>——</v>
      </c>
      <c r="B116" s="3448"/>
      <c r="C116" s="2786" t="str">
        <f>B101</f>
        <v>总价（万元）</v>
      </c>
      <c r="D116" s="2787" t="str">
        <f>IF(A116="——","——",O59)</f>
        <v>——</v>
      </c>
      <c r="E116" s="1430"/>
      <c r="F116" s="3425"/>
      <c r="G116" s="3425"/>
      <c r="H116" s="3466"/>
      <c r="I116" s="3466"/>
      <c r="J116" s="2833"/>
      <c r="O116" s="32"/>
      <c r="P116" s="32"/>
    </row>
    <row r="117" spans="1:16" ht="13.5" thickBot="1">
      <c r="A117" s="3516"/>
      <c r="B117" s="3517"/>
      <c r="C117" s="2791" t="s">
        <v>2718</v>
      </c>
      <c r="D117" s="2775" t="str">
        <f ca="1">IF(D116=D112,D113,IF(A116="——","——",O61))</f>
        <v>——</v>
      </c>
      <c r="E117" s="1430"/>
      <c r="F117" s="3509" t="str">
        <f>IF(B32="总价","（以上估价结果中单价为总价除以建筑面积得出）","（以上估价结果中总价为楼面单价乘以建筑面积得出）")</f>
        <v>（以上估价结果中单价为总价除以建筑面积得出）</v>
      </c>
      <c r="G117" s="3509"/>
      <c r="H117" s="3509"/>
      <c r="I117" s="3509"/>
      <c r="J117" s="2834"/>
      <c r="O117" s="32"/>
      <c r="P117" s="32"/>
    </row>
    <row r="118" spans="1:16" ht="15">
      <c r="A118" s="3467" t="s">
        <v>1817</v>
      </c>
      <c r="B118" s="3468"/>
      <c r="C118" s="3468"/>
      <c r="D118" s="3468"/>
      <c r="E118" s="3468"/>
      <c r="F118" s="3468"/>
      <c r="G118" s="3468"/>
      <c r="H118" s="3468"/>
      <c r="I118" s="3468"/>
      <c r="J118" s="2835"/>
    </row>
    <row r="119" spans="1:16" ht="12.75">
      <c r="A119" s="3440" t="s">
        <v>2736</v>
      </c>
      <c r="B119" s="3438" t="s">
        <v>2746</v>
      </c>
      <c r="C119" s="3438" t="s">
        <v>2747</v>
      </c>
      <c r="D119" s="3445" t="s">
        <v>2738</v>
      </c>
      <c r="E119" s="3446"/>
      <c r="F119" s="3436" t="s">
        <v>2748</v>
      </c>
      <c r="G119" s="3436"/>
      <c r="H119" s="3436" t="s">
        <v>2739</v>
      </c>
      <c r="I119" s="3437"/>
      <c r="J119" s="2813"/>
    </row>
    <row r="120" spans="1:16" ht="12.75">
      <c r="A120" s="3440"/>
      <c r="B120" s="3439"/>
      <c r="C120" s="3439"/>
      <c r="D120" s="2061" t="s">
        <v>2740</v>
      </c>
      <c r="E120" s="2061" t="s">
        <v>2745</v>
      </c>
      <c r="F120" s="2061" t="s">
        <v>2740</v>
      </c>
      <c r="G120" s="2061" t="s">
        <v>2741</v>
      </c>
      <c r="H120" s="2061" t="s">
        <v>2740</v>
      </c>
      <c r="I120" s="52" t="s">
        <v>2741</v>
      </c>
      <c r="J120" s="2813"/>
    </row>
    <row r="121" spans="1:16" ht="12.75">
      <c r="A121" s="2051" t="str">
        <f>项目基本情况!I1</f>
        <v>北京市房地产</v>
      </c>
      <c r="B121" s="2061">
        <f>项目基本情况!C12</f>
        <v>393.43</v>
      </c>
      <c r="C121" s="2061">
        <f>项目基本情况!C13</f>
        <v>0</v>
      </c>
      <c r="D121" s="2061">
        <f ca="1">ROUND(IF(B32="总价",C34,IF('数据-取费表'!B3="万元",E121*B121/10000,E121*B121)),0)</f>
        <v>275</v>
      </c>
      <c r="E121" s="2061">
        <f ca="1">ROUND(IF(B32="楼面单价",C34,IF(H19="元",D121/B121,D121*10000/B121)),0)</f>
        <v>6990</v>
      </c>
      <c r="F121" s="2061">
        <f ca="1">ROUND(IF(B32="总价",C35,IF('数据-取费表'!B3="万元",G121*B121/10000,G121*B121)),0)</f>
        <v>70</v>
      </c>
      <c r="G121" s="2061">
        <f ca="1">ROUND(IF(B32="楼面单价",C35,IF(H19="元",F121/B121,F121*10000/B121)),0)</f>
        <v>1779</v>
      </c>
      <c r="H121" s="2061">
        <f ca="1">ROUND(IF(B32="总价",C32,IF('数据-取费表'!B3="万元",I121*B121/10000,I121*B121)),0)</f>
        <v>345</v>
      </c>
      <c r="I121" s="52">
        <f ca="1">ROUND(IF(B32="楼面单价",C32,IF(H19="元",H121/B121,H121*10000/B121)),0)</f>
        <v>8769</v>
      </c>
      <c r="J121" s="2813"/>
    </row>
    <row r="122" spans="1:16" ht="12.75">
      <c r="A122" s="3440" t="s">
        <v>2742</v>
      </c>
      <c r="B122" s="3436"/>
      <c r="C122" s="3436"/>
      <c r="D122" s="3471" t="str">
        <f ca="1">IF(H19="元",NUMBERSTRING(INT(D121),2)&amp;"元整",NUMBERSTRING(INT(D121*10000),2)&amp;"元整")</f>
        <v>贰佰柒拾伍万元整</v>
      </c>
      <c r="E122" s="3472"/>
      <c r="F122" s="3471" t="str">
        <f ca="1">IF(H19="元",NUMBERSTRING(INT(F121),2)&amp;"元整",NUMBERSTRING(INT(F121*10000),2)&amp;"元整")</f>
        <v>柒拾万元整</v>
      </c>
      <c r="G122" s="3472"/>
      <c r="H122" s="3471" t="str">
        <f ca="1">IF(H19="元",NUMBERSTRING(INT(H121),2)&amp;"元整",NUMBERSTRING(INT(H121*10000),2)&amp;"元整")</f>
        <v>叁佰肆拾伍万元整</v>
      </c>
      <c r="I122" s="3520"/>
      <c r="J122" s="2836"/>
    </row>
    <row r="123" spans="1:16" ht="12.75">
      <c r="A123" s="3460" t="str">
        <f>IF(项目基本情况!D5="房地产市场价值","——",MID(A108,3,LEN(A108)-2))</f>
        <v>估价师所知悉的法定优先受偿款</v>
      </c>
      <c r="B123" s="3473"/>
      <c r="C123" s="3462"/>
      <c r="D123" s="3464">
        <f>I105</f>
        <v>0</v>
      </c>
      <c r="E123" s="3473"/>
      <c r="F123" s="3473"/>
      <c r="G123" s="3473"/>
      <c r="H123" s="3473"/>
      <c r="I123" s="3461"/>
      <c r="J123" s="2829"/>
    </row>
    <row r="124" spans="1:16" ht="12.75">
      <c r="A124" s="3474" t="s">
        <v>2742</v>
      </c>
      <c r="B124" s="3475"/>
      <c r="C124" s="3476"/>
      <c r="D124" s="3512">
        <f>H109</f>
        <v>0</v>
      </c>
      <c r="E124" s="3513"/>
      <c r="F124" s="3513"/>
      <c r="G124" s="3513"/>
      <c r="H124" s="3513"/>
      <c r="I124" s="3514"/>
      <c r="J124" s="2837"/>
    </row>
    <row r="125" spans="1:16" ht="12.75">
      <c r="A125" s="3447" t="str">
        <f>IF(项目基本情况!D5="房地产市场价值","——",MID(A112,3,LEN(A112)-2))</f>
        <v>房地产抵押价值</v>
      </c>
      <c r="B125" s="3448"/>
      <c r="C125" s="3448"/>
      <c r="D125" s="3464">
        <f ca="1">I110</f>
        <v>345</v>
      </c>
      <c r="E125" s="3473"/>
      <c r="F125" s="3473"/>
      <c r="G125" s="3473"/>
      <c r="H125" s="3473"/>
      <c r="I125" s="3461"/>
      <c r="J125" s="2829"/>
    </row>
    <row r="126" spans="1:16" ht="12.75">
      <c r="A126" s="3440" t="s">
        <v>2742</v>
      </c>
      <c r="B126" s="3436"/>
      <c r="C126" s="3436"/>
      <c r="D126" s="3512">
        <f ca="1">I111</f>
        <v>8769</v>
      </c>
      <c r="E126" s="3513"/>
      <c r="F126" s="3513"/>
      <c r="G126" s="3513"/>
      <c r="H126" s="3513"/>
      <c r="I126" s="3514"/>
      <c r="J126" s="2837"/>
    </row>
    <row r="127" spans="1:16" ht="13.5" thickBot="1">
      <c r="A127" s="3447" t="str">
        <f>IF(项目基本情况!D5="房地产市场价值","——",MID(A114,3,LEN(A114)-2))</f>
        <v/>
      </c>
      <c r="B127" s="3448"/>
      <c r="C127" s="3448"/>
      <c r="D127" s="3420" t="str">
        <f>I112</f>
        <v>——</v>
      </c>
      <c r="E127" s="3421"/>
      <c r="F127" s="3421"/>
      <c r="G127" s="3421"/>
      <c r="H127" s="3421"/>
      <c r="I127" s="3422"/>
      <c r="J127" s="2829"/>
    </row>
    <row r="128" spans="1:16" ht="14.25" thickTop="1" thickBot="1">
      <c r="A128" s="3440" t="s">
        <v>2742</v>
      </c>
      <c r="B128" s="3436"/>
      <c r="C128" s="3487"/>
      <c r="D128" s="3465" t="str">
        <f>I113</f>
        <v>——</v>
      </c>
      <c r="E128" s="3465"/>
      <c r="F128" s="3465"/>
      <c r="G128" s="3465"/>
      <c r="H128" s="3465"/>
      <c r="I128" s="3465"/>
      <c r="J128" s="2837"/>
    </row>
    <row r="129" spans="1:10" ht="14.25" thickTop="1" thickBot="1">
      <c r="A129" s="3447" t="str">
        <f>IF(项目基本情况!D5="房地产市场价值","——",MID(F114,3,LEN(F114)-2))</f>
        <v/>
      </c>
      <c r="B129" s="3448"/>
      <c r="C129" s="3464"/>
      <c r="D129" s="3515" t="str">
        <f>I114</f>
        <v>——</v>
      </c>
      <c r="E129" s="3515"/>
      <c r="F129" s="3515"/>
      <c r="G129" s="3515"/>
      <c r="H129" s="3515"/>
      <c r="I129" s="3515"/>
      <c r="J129" s="2829"/>
    </row>
    <row r="130" spans="1:10" ht="14.25" thickTop="1" thickBot="1">
      <c r="A130" s="3503" t="s">
        <v>2742</v>
      </c>
      <c r="B130" s="3504"/>
      <c r="C130" s="3504"/>
      <c r="D130" s="3521">
        <f>H116</f>
        <v>0</v>
      </c>
      <c r="E130" s="3522"/>
      <c r="F130" s="3522"/>
      <c r="G130" s="3522"/>
      <c r="H130" s="3522"/>
      <c r="I130" s="3523"/>
      <c r="J130" s="2837"/>
    </row>
    <row r="131" spans="1:10" ht="12.75">
      <c r="A131" s="1450" t="str">
        <f>IF(H19="元","单位：平方米、元、元/平方米（币种：人民币）","单位：平方米、万元、元/平方米（币种：人民币）")</f>
        <v>单位：平方米、万元、元/平方米（币种：人民币）</v>
      </c>
      <c r="B131" s="1450"/>
      <c r="C131" s="1450"/>
      <c r="D131" s="1450"/>
      <c r="E131" s="1450"/>
      <c r="F131" s="1450"/>
      <c r="G131" s="1450"/>
      <c r="H131" s="1450"/>
      <c r="I131" s="1450"/>
      <c r="J131" s="2838"/>
    </row>
    <row r="132" spans="1:10" ht="13.5" thickBot="1">
      <c r="A132" s="3508" t="str">
        <f>IF(B32="总价","（以上估价结果中楼面单价为总价除以建筑面积得出）","（以上估价结果中总价为楼面单价乘以建筑面积得出）")</f>
        <v>（以上估价结果中楼面单价为总价除以建筑面积得出）</v>
      </c>
      <c r="B132" s="3508"/>
      <c r="C132" s="3508"/>
      <c r="D132" s="3508"/>
      <c r="E132" s="3508"/>
      <c r="F132" s="3508"/>
      <c r="G132" s="3508"/>
      <c r="H132" s="3508"/>
      <c r="I132" s="3508"/>
      <c r="J132" s="2831"/>
    </row>
    <row r="133" spans="1:10" ht="21.75" customHeight="1">
      <c r="A133" s="1460" t="s">
        <v>1818</v>
      </c>
      <c r="B133" s="1461"/>
      <c r="C133" s="1462" t="s">
        <v>1819</v>
      </c>
      <c r="D133" s="1463"/>
      <c r="E133" s="1463"/>
      <c r="F133" s="1463"/>
      <c r="G133" s="1463"/>
      <c r="H133" s="1464"/>
      <c r="I133" s="1465"/>
      <c r="J133" s="2839"/>
    </row>
    <row r="134" spans="1:10" ht="21.75" customHeight="1">
      <c r="A134" s="1466">
        <v>1</v>
      </c>
      <c r="B134" s="1467"/>
      <c r="C134" s="1467"/>
      <c r="D134" s="1463"/>
      <c r="E134" s="1463"/>
      <c r="F134" s="1463"/>
      <c r="G134" s="1463"/>
      <c r="H134" s="1464"/>
      <c r="I134" s="1465"/>
      <c r="J134" s="2839"/>
    </row>
    <row r="135" spans="1:10" ht="21.75" customHeight="1">
      <c r="A135" s="1466">
        <v>2</v>
      </c>
      <c r="B135" s="1467"/>
      <c r="C135" s="1467"/>
      <c r="D135" s="1463"/>
      <c r="E135" s="1463"/>
      <c r="F135" s="1463"/>
      <c r="G135" s="1463"/>
      <c r="H135" s="1464"/>
      <c r="I135" s="1465"/>
      <c r="J135" s="2839"/>
    </row>
    <row r="136" spans="1:10" ht="21.75" customHeight="1">
      <c r="A136" s="1466">
        <v>3</v>
      </c>
      <c r="B136" s="1467"/>
      <c r="C136" s="1467"/>
      <c r="D136" s="1463"/>
      <c r="E136" s="1463"/>
      <c r="F136" s="32"/>
      <c r="G136" s="32"/>
      <c r="H136" s="32"/>
      <c r="I136" s="32"/>
      <c r="J136" s="2840"/>
    </row>
    <row r="137" spans="1:10" ht="21.75" customHeight="1">
      <c r="A137" s="1468"/>
      <c r="B137" s="1469"/>
      <c r="C137" s="1469"/>
      <c r="D137" s="1470"/>
      <c r="E137" s="1470"/>
      <c r="F137" s="1470"/>
      <c r="G137" s="1470"/>
      <c r="H137" s="1471"/>
      <c r="I137" s="1472"/>
      <c r="J137" s="2839"/>
    </row>
    <row r="138" spans="1:10" ht="21.75" customHeight="1">
      <c r="A138" s="1467"/>
      <c r="B138" s="1467"/>
      <c r="C138" s="1467"/>
      <c r="D138" s="1463"/>
      <c r="E138" s="1463"/>
      <c r="F138" s="1463"/>
      <c r="G138" s="1463"/>
      <c r="H138" s="1464"/>
      <c r="I138" s="659"/>
      <c r="J138" s="2840"/>
    </row>
    <row r="139" spans="1:10" ht="21.75" customHeight="1">
      <c r="A139" s="659"/>
      <c r="B139" s="659"/>
      <c r="C139" s="659"/>
      <c r="D139" s="659"/>
      <c r="E139" s="659"/>
      <c r="F139" s="1473" t="s">
        <v>1820</v>
      </c>
      <c r="G139" s="1474"/>
      <c r="H139" s="1474"/>
      <c r="I139" s="1475" t="s">
        <v>1821</v>
      </c>
      <c r="J139" s="2841"/>
    </row>
    <row r="140" spans="1:10" ht="21.75" customHeight="1">
      <c r="A140" s="659"/>
      <c r="B140" s="1476" t="s">
        <v>1822</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4"/>
      <c r="C142" s="1474"/>
      <c r="D142" s="1474"/>
      <c r="E142" s="1474"/>
      <c r="F142" s="1474"/>
      <c r="G142" s="1474"/>
      <c r="H142" s="1474"/>
      <c r="I142" s="1475" t="s">
        <v>1823</v>
      </c>
      <c r="J142" s="2841"/>
    </row>
    <row r="143" spans="1:10" ht="21.75" customHeight="1">
      <c r="A143" s="659"/>
      <c r="B143" s="1476" t="s">
        <v>1824</v>
      </c>
      <c r="C143" s="659"/>
      <c r="D143" s="659"/>
      <c r="E143" s="659"/>
      <c r="F143" s="659"/>
      <c r="G143" s="659"/>
      <c r="H143" s="659"/>
      <c r="I143" s="659"/>
      <c r="J143" s="2840"/>
    </row>
    <row r="144" spans="1:10" ht="21.75" customHeight="1">
      <c r="A144" s="659"/>
      <c r="B144" s="1476"/>
      <c r="C144" s="659"/>
      <c r="D144" s="659"/>
      <c r="E144" s="659"/>
      <c r="F144" s="659"/>
      <c r="G144" s="659"/>
      <c r="H144" s="659"/>
      <c r="I144" s="659"/>
      <c r="J144" s="2840"/>
    </row>
    <row r="145" spans="1:36" ht="21.75" customHeight="1">
      <c r="A145" s="659"/>
      <c r="B145" s="1474"/>
      <c r="C145" s="1474"/>
      <c r="D145" s="1474"/>
      <c r="E145" s="1474"/>
      <c r="F145" s="1474"/>
      <c r="G145" s="1474"/>
      <c r="H145" s="1474"/>
      <c r="I145" s="1475" t="s">
        <v>1823</v>
      </c>
      <c r="J145" s="2841"/>
    </row>
    <row r="146" spans="1:36" ht="21.75" customHeight="1">
      <c r="A146" s="659"/>
      <c r="B146" s="1476"/>
      <c r="C146" s="1477"/>
      <c r="D146" s="1478"/>
      <c r="E146" s="1478"/>
      <c r="F146" s="1479"/>
      <c r="G146" s="659"/>
      <c r="H146" s="659"/>
      <c r="I146" s="659"/>
      <c r="J146" s="2840"/>
    </row>
    <row r="147" spans="1:36" s="32" customFormat="1" ht="21.75" customHeight="1">
      <c r="A147" s="659"/>
      <c r="B147" s="1476"/>
      <c r="C147" s="1477"/>
      <c r="D147" s="1478"/>
      <c r="E147" s="1478"/>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7"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7"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7"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7"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7"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7"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7"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7"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7"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7"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7"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7"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7"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7"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7"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7"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7"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7"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7"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7"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7"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7"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7"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7"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7"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7"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7"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7"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7"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7"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7"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7"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7"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7"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7"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7"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7"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7"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7"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7"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7"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7"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7"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7"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7"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7"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7"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7"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7"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7"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7"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7"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7"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7"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7"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7"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7"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7"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7"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7"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7"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7"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7"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7"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7"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7"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7"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7"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7"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7"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7"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7"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7"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7"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7"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7"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7"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7"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7"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7"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7"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7"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7"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7"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7"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7"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7"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7"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7"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7"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7"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7"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7"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7"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7"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7"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7"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7"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7"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7"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7"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7"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7"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7"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7"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7"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7"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7"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7"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7"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7"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7"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7"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7" customFormat="1" ht="21.75" customHeight="1">
      <c r="F516" s="1431"/>
      <c r="G516" s="1431"/>
      <c r="H516" s="1431"/>
      <c r="I516" s="1431"/>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I28" sqref="I28"/>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10" customWidth="1"/>
    <col min="11" max="12" width="12.625" style="659" customWidth="1"/>
    <col min="13" max="13" width="12.625" style="659"/>
    <col min="14" max="14" width="14.125" style="659" bestFit="1" customWidth="1"/>
    <col min="15" max="27" width="12.625" style="659"/>
    <col min="28" max="36" width="12.625" style="1277"/>
    <col min="37" max="16384" width="12.625" style="1431"/>
  </cols>
  <sheetData>
    <row r="1" spans="1:15" ht="21.75" customHeight="1">
      <c r="A1" s="1429" t="s">
        <v>1825</v>
      </c>
      <c r="B1" s="1430"/>
      <c r="C1" s="1430"/>
      <c r="D1" s="1430"/>
      <c r="E1" s="1430"/>
      <c r="F1" s="1430"/>
      <c r="G1" s="1430"/>
      <c r="H1" s="1430"/>
      <c r="I1" s="1430"/>
    </row>
    <row r="2" spans="1:15" ht="21.75" customHeight="1">
      <c r="A2" s="3530" t="s">
        <v>1826</v>
      </c>
      <c r="B2" s="3530"/>
      <c r="C2" s="3530"/>
      <c r="D2" s="3530"/>
      <c r="E2" s="3530"/>
      <c r="F2" s="3530"/>
      <c r="G2" s="3530"/>
      <c r="H2" s="3530"/>
      <c r="I2" s="3530"/>
      <c r="J2" s="2842"/>
    </row>
    <row r="3" spans="1:15" ht="12.75">
      <c r="A3" s="3490" t="s">
        <v>1654</v>
      </c>
      <c r="B3" s="3491"/>
      <c r="C3" s="3491"/>
      <c r="D3" s="3491"/>
      <c r="E3" s="3491"/>
      <c r="F3" s="3491"/>
      <c r="G3" s="3491"/>
      <c r="H3" s="3491"/>
      <c r="I3" s="3491"/>
      <c r="J3" s="2812"/>
    </row>
    <row r="4" spans="1:15" ht="14.25">
      <c r="A4" s="2680" t="s">
        <v>1655</v>
      </c>
      <c r="B4" s="2680" t="s">
        <v>1656</v>
      </c>
      <c r="C4" s="2681" t="s">
        <v>3011</v>
      </c>
      <c r="D4" s="2681" t="s">
        <v>3004</v>
      </c>
      <c r="E4" s="3487" t="s">
        <v>1827</v>
      </c>
      <c r="F4" s="3475"/>
      <c r="G4" s="3475"/>
      <c r="H4" s="3475"/>
      <c r="I4" s="3476"/>
      <c r="J4" s="2813"/>
      <c r="L4" s="1430" t="str">
        <f>IF(ISNUMBER(FIND("比较法",'结果表 (1修多)'!C4)),"比较法",IF(ISNUMBER(FIND("成本法",'结果表 (1修多)'!C4)),"成本法",IF(ISNUMBER(FIND("假设开发法",'结果表 (1修多)'!C4)),"假设开发法",IF(ISNUMBER(FIND("收益法",'结果表 (1修多)'!C4)),"收益法","基准地价系数修正法"))))</f>
        <v>比较法</v>
      </c>
      <c r="M4" s="1430" t="str">
        <f>IF(ISNUMBER(FIND("比较法",'结果表 (1修多)'!D4)),"比较法",IF(ISNUMBER(FIND("成本法",'结果表 (1修多)'!D4)),"成本法",IF(ISNUMBER(FIND("假设开发法",'结果表 (1修多)'!D4)),"假设开发法",IF(ISNUMBER(FIND("收益法",'结果表 (1修多)'!D4)),"收益法","基准地价系数修正法"))))</f>
        <v>收益法</v>
      </c>
      <c r="N4" s="1430"/>
      <c r="O4" s="1430"/>
    </row>
    <row r="5" spans="1:15" ht="12.75">
      <c r="A5" s="3486" t="s">
        <v>1658</v>
      </c>
      <c r="B5" s="3486">
        <v>25</v>
      </c>
      <c r="C5" s="3492"/>
      <c r="D5" s="3489"/>
      <c r="E5" s="12" t="s">
        <v>1659</v>
      </c>
      <c r="F5" s="2058"/>
      <c r="G5" s="2058"/>
      <c r="H5" s="2058"/>
      <c r="I5" s="2053"/>
      <c r="J5" s="2813"/>
    </row>
    <row r="6" spans="1:15" ht="12.75">
      <c r="A6" s="3486"/>
      <c r="B6" s="3486"/>
      <c r="C6" s="3493"/>
      <c r="D6" s="3489"/>
      <c r="E6" s="12" t="s">
        <v>1660</v>
      </c>
      <c r="F6" s="2058"/>
      <c r="G6" s="2058"/>
      <c r="H6" s="2058"/>
      <c r="I6" s="2053"/>
      <c r="J6" s="2813"/>
    </row>
    <row r="7" spans="1:15" ht="12.75">
      <c r="A7" s="3486"/>
      <c r="B7" s="3486"/>
      <c r="C7" s="3494"/>
      <c r="D7" s="3489"/>
      <c r="E7" s="12" t="s">
        <v>1661</v>
      </c>
      <c r="F7" s="2058"/>
      <c r="G7" s="2058"/>
      <c r="H7" s="2058"/>
      <c r="I7" s="2053"/>
      <c r="J7" s="2813"/>
    </row>
    <row r="8" spans="1:15" ht="12.75">
      <c r="A8" s="3486" t="s">
        <v>1662</v>
      </c>
      <c r="B8" s="3486">
        <v>15</v>
      </c>
      <c r="C8" s="3492"/>
      <c r="D8" s="3489"/>
      <c r="E8" s="12" t="s">
        <v>1663</v>
      </c>
      <c r="F8" s="2058"/>
      <c r="G8" s="2058"/>
      <c r="H8" s="2058"/>
      <c r="I8" s="2053"/>
      <c r="J8" s="2813"/>
    </row>
    <row r="9" spans="1:15" ht="12.75">
      <c r="A9" s="3486"/>
      <c r="B9" s="3486"/>
      <c r="C9" s="3494"/>
      <c r="D9" s="3489"/>
      <c r="E9" s="12" t="s">
        <v>1664</v>
      </c>
      <c r="F9" s="2058"/>
      <c r="G9" s="2058"/>
      <c r="H9" s="2058"/>
      <c r="I9" s="2053"/>
      <c r="J9" s="2813"/>
    </row>
    <row r="10" spans="1:15" ht="12.75">
      <c r="A10" s="3486" t="s">
        <v>1665</v>
      </c>
      <c r="B10" s="3486">
        <v>15</v>
      </c>
      <c r="C10" s="3492"/>
      <c r="D10" s="3489"/>
      <c r="E10" s="12" t="s">
        <v>1666</v>
      </c>
      <c r="F10" s="2058"/>
      <c r="G10" s="2058"/>
      <c r="H10" s="2058"/>
      <c r="I10" s="2053"/>
      <c r="J10" s="2813"/>
    </row>
    <row r="11" spans="1:15" ht="12.75">
      <c r="A11" s="3486"/>
      <c r="B11" s="3486"/>
      <c r="C11" s="3494"/>
      <c r="D11" s="3489"/>
      <c r="E11" s="12" t="s">
        <v>1667</v>
      </c>
      <c r="F11" s="2058"/>
      <c r="G11" s="2058"/>
      <c r="H11" s="2058"/>
      <c r="I11" s="2053"/>
      <c r="J11" s="2813"/>
    </row>
    <row r="12" spans="1:15" ht="12.75">
      <c r="A12" s="3486" t="s">
        <v>1668</v>
      </c>
      <c r="B12" s="3486">
        <v>15</v>
      </c>
      <c r="C12" s="3492"/>
      <c r="D12" s="3489"/>
      <c r="E12" s="12" t="s">
        <v>1669</v>
      </c>
      <c r="F12" s="2058"/>
      <c r="G12" s="2058"/>
      <c r="H12" s="2058"/>
      <c r="I12" s="2053"/>
      <c r="J12" s="2813"/>
    </row>
    <row r="13" spans="1:15" ht="12.75">
      <c r="A13" s="3486"/>
      <c r="B13" s="3486"/>
      <c r="C13" s="3494"/>
      <c r="D13" s="3489"/>
      <c r="E13" s="12" t="s">
        <v>1670</v>
      </c>
      <c r="F13" s="2058"/>
      <c r="G13" s="2058"/>
      <c r="H13" s="2058"/>
      <c r="I13" s="2053"/>
      <c r="J13" s="2813"/>
    </row>
    <row r="14" spans="1:15" ht="12.75">
      <c r="A14" s="3486" t="s">
        <v>1671</v>
      </c>
      <c r="B14" s="3486">
        <v>30</v>
      </c>
      <c r="C14" s="3492">
        <v>7</v>
      </c>
      <c r="D14" s="3489">
        <v>3</v>
      </c>
      <c r="E14" s="12" t="s">
        <v>1672</v>
      </c>
      <c r="F14" s="2058"/>
      <c r="G14" s="2058"/>
      <c r="H14" s="2058"/>
      <c r="I14" s="2053"/>
      <c r="J14" s="2813"/>
    </row>
    <row r="15" spans="1:15" ht="12.75">
      <c r="A15" s="3486"/>
      <c r="B15" s="3486"/>
      <c r="C15" s="3493"/>
      <c r="D15" s="3489"/>
      <c r="E15" s="12" t="s">
        <v>1673</v>
      </c>
      <c r="F15" s="2058"/>
      <c r="G15" s="2058"/>
      <c r="H15" s="2058"/>
      <c r="I15" s="2053"/>
      <c r="J15" s="2813"/>
    </row>
    <row r="16" spans="1:15" ht="12.75">
      <c r="A16" s="3486"/>
      <c r="B16" s="3486"/>
      <c r="C16" s="3494"/>
      <c r="D16" s="3489"/>
      <c r="E16" s="12" t="s">
        <v>1674</v>
      </c>
      <c r="F16" s="2058"/>
      <c r="G16" s="2058"/>
      <c r="H16" s="2058"/>
      <c r="I16" s="2053"/>
      <c r="J16" s="2813"/>
    </row>
    <row r="17" spans="1:36" ht="15">
      <c r="A17" s="2682" t="s">
        <v>1675</v>
      </c>
      <c r="B17" s="2063"/>
      <c r="C17" s="2683">
        <f>SUM(C5:C16)</f>
        <v>7</v>
      </c>
      <c r="D17" s="2683">
        <f>SUM(D5:D16)</f>
        <v>3</v>
      </c>
      <c r="E17" s="2532"/>
      <c r="F17" s="2532"/>
      <c r="G17" s="2532"/>
      <c r="H17" s="2532"/>
      <c r="I17" s="2532"/>
      <c r="J17" s="2814"/>
    </row>
    <row r="18" spans="1:36" ht="32.450000000000003" customHeight="1" thickBot="1">
      <c r="A18" s="2684" t="s">
        <v>1676</v>
      </c>
      <c r="B18" s="2685"/>
      <c r="C18" s="2686">
        <f>ROUND(C17/SUM(C17:D17),2)</f>
        <v>0.7</v>
      </c>
      <c r="D18" s="2686">
        <f>1-C18</f>
        <v>0.30000000000000004</v>
      </c>
      <c r="E18" s="3506" t="s">
        <v>2761</v>
      </c>
      <c r="F18" s="3507"/>
      <c r="G18" s="3507"/>
      <c r="H18" s="3507"/>
      <c r="I18" s="3507"/>
      <c r="J18" s="2814"/>
    </row>
    <row r="19" spans="1:36" ht="15">
      <c r="A19" s="2687" t="s">
        <v>1677</v>
      </c>
      <c r="B19" s="2688" t="s">
        <v>1678</v>
      </c>
      <c r="C19" s="2689">
        <f ca="1">SUMIF(INDIRECT("'"&amp;C4&amp;"'"&amp;"!A:A"),'结果表 (1修多)'!B19,INDIRECT("'"&amp;C4&amp;"'"&amp;"!B:B"))</f>
        <v>393</v>
      </c>
      <c r="D19" s="2690">
        <f ca="1">SUMIF(INDIRECT("'"&amp;D4&amp;"'"&amp;"!A:A"),'结果表 (1修多)'!B19,INDIRECT("'"&amp;D4&amp;"'"&amp;"!B:B"))</f>
        <v>234</v>
      </c>
      <c r="E19" s="2687" t="s">
        <v>1679</v>
      </c>
      <c r="F19" s="2688" t="s">
        <v>1678</v>
      </c>
      <c r="G19" s="2691">
        <f ca="1">ROUND(C19*$C$18+D19*$D$18,0)</f>
        <v>345</v>
      </c>
      <c r="H19" s="2692" t="str">
        <f>'数据-取费表'!B3</f>
        <v>万元</v>
      </c>
      <c r="I19" s="2532"/>
      <c r="J19" s="2814"/>
    </row>
    <row r="20" spans="1:36" ht="15">
      <c r="A20" s="2693"/>
      <c r="B20" s="1663" t="s">
        <v>1680</v>
      </c>
      <c r="C20" s="1888">
        <f ca="1">SUMIF(INDIRECT("'"&amp;C4&amp;"'"&amp;"!A:A"),'结果表 (1修多)'!B20,INDIRECT("'"&amp;C4&amp;"'"&amp;"!B:B"))</f>
        <v>31287</v>
      </c>
      <c r="D20" s="1891">
        <f ca="1">SUMIF(INDIRECT("'"&amp;D4&amp;"'"&amp;"!A:A"),'结果表 (1修多)'!B20,INDIRECT("'"&amp;D4&amp;"'"&amp;"!B:B"))</f>
        <v>18650</v>
      </c>
      <c r="E20" s="2693"/>
      <c r="F20" s="1663" t="s">
        <v>1680</v>
      </c>
      <c r="G20" s="2062">
        <f ca="1">ROUND(C20*$C$18+D20*$D$18,0)</f>
        <v>27496</v>
      </c>
      <c r="H20" s="2694" t="s">
        <v>1681</v>
      </c>
      <c r="I20" s="2532"/>
      <c r="J20" s="2814"/>
    </row>
    <row r="21" spans="1:36" ht="15" customHeight="1" thickBot="1">
      <c r="A21" s="2695"/>
      <c r="B21" s="2696"/>
      <c r="C21" s="2696"/>
      <c r="D21" s="2697"/>
      <c r="E21" s="2695"/>
      <c r="F21" s="2696"/>
      <c r="G21" s="2698"/>
      <c r="H21" s="2699"/>
      <c r="I21" s="2532"/>
      <c r="J21" s="2814"/>
    </row>
    <row r="22" spans="1:36" ht="15" thickBot="1">
      <c r="A22" s="2700" t="s">
        <v>1682</v>
      </c>
      <c r="B22" s="2701"/>
      <c r="C22" s="2616"/>
      <c r="D22" s="2702">
        <f ca="1">IF(C19&lt;D19,D19/C19-1,C19/D19-1)</f>
        <v>0.67948717948717952</v>
      </c>
      <c r="E22" s="947"/>
      <c r="F22" s="947"/>
      <c r="G22" s="947"/>
      <c r="H22" s="947"/>
      <c r="I22" s="947"/>
      <c r="J22" s="2814"/>
    </row>
    <row r="23" spans="1:36" ht="13.5" thickBot="1">
      <c r="A23" s="2532"/>
      <c r="B23" s="2532"/>
      <c r="C23" s="2532"/>
      <c r="D23" s="2532"/>
      <c r="E23" s="947"/>
      <c r="F23" s="947"/>
      <c r="G23" s="947"/>
      <c r="H23" s="947"/>
      <c r="I23" s="947"/>
      <c r="J23" s="2814"/>
    </row>
    <row r="24" spans="1:36" ht="21.75" customHeight="1">
      <c r="A24" s="3495" t="s">
        <v>1683</v>
      </c>
      <c r="B24" s="2688" t="s">
        <v>1678</v>
      </c>
      <c r="C24" s="2691">
        <f>D30</f>
        <v>0</v>
      </c>
      <c r="D24" s="2643"/>
      <c r="E24" s="947"/>
      <c r="F24" s="947"/>
      <c r="G24" s="947"/>
      <c r="H24" s="947"/>
      <c r="I24" s="947"/>
      <c r="J24" s="2814"/>
    </row>
    <row r="25" spans="1:36" ht="21.75" customHeight="1">
      <c r="A25" s="3496"/>
      <c r="B25" s="1663" t="s">
        <v>1680</v>
      </c>
      <c r="C25" s="2703">
        <f>IF(B30=0,0,C30)</f>
        <v>0</v>
      </c>
      <c r="D25" s="2704"/>
      <c r="E25" s="947"/>
      <c r="F25" s="947"/>
      <c r="G25" s="947"/>
      <c r="H25" s="947"/>
      <c r="I25" s="947"/>
      <c r="J25" s="2814"/>
    </row>
    <row r="26" spans="1:36" ht="13.5" customHeight="1">
      <c r="A26" s="2705" t="s">
        <v>1684</v>
      </c>
      <c r="B26" s="2706" t="s">
        <v>1685</v>
      </c>
      <c r="C26" s="2706" t="s">
        <v>1686</v>
      </c>
      <c r="D26" s="2707" t="s">
        <v>1687</v>
      </c>
      <c r="E26" s="947"/>
      <c r="F26" s="947"/>
      <c r="G26" s="947"/>
      <c r="H26" s="947"/>
      <c r="I26" s="947"/>
      <c r="J26" s="2814"/>
    </row>
    <row r="27" spans="1:36" ht="14.25">
      <c r="A27" s="2708" t="s">
        <v>1828</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1829</v>
      </c>
      <c r="B30" s="2742"/>
      <c r="C30" s="2742"/>
      <c r="D30" s="2742"/>
      <c r="E30" s="2709" t="s">
        <v>2765</v>
      </c>
      <c r="F30" s="2532"/>
      <c r="G30" s="2532"/>
      <c r="H30" s="2532"/>
      <c r="I30" s="2532"/>
      <c r="J30" s="2814"/>
    </row>
    <row r="31" spans="1:36" s="2807" customFormat="1" ht="27.6" customHeight="1" thickTop="1" thickBot="1">
      <c r="A31" s="2802"/>
      <c r="B31" s="2803"/>
      <c r="C31" s="2803"/>
      <c r="D31" s="2803"/>
      <c r="E31" s="2803"/>
      <c r="F31" s="2803"/>
      <c r="G31" s="2803"/>
      <c r="H31" s="2803"/>
      <c r="I31" s="2804" t="s">
        <v>2766</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4" customFormat="1" ht="16.5" thickTop="1" thickBot="1">
      <c r="A32" s="3552" t="s">
        <v>1830</v>
      </c>
      <c r="B32" s="3552"/>
      <c r="C32" s="3552"/>
      <c r="D32" s="3552"/>
      <c r="E32" s="3552"/>
      <c r="F32" s="3552"/>
      <c r="G32" s="3552"/>
      <c r="H32" s="3552"/>
      <c r="I32" s="3552"/>
      <c r="J32" s="2843"/>
      <c r="K32" s="659"/>
      <c r="L32" s="659"/>
      <c r="M32" s="659"/>
      <c r="N32" s="659"/>
      <c r="O32" s="659"/>
      <c r="P32" s="659"/>
      <c r="Q32" s="659"/>
      <c r="R32" s="659"/>
      <c r="S32" s="659"/>
      <c r="T32" s="659"/>
      <c r="U32" s="659"/>
      <c r="V32" s="659"/>
      <c r="W32" s="659"/>
      <c r="X32" s="659"/>
      <c r="Y32" s="659"/>
      <c r="Z32" s="659"/>
      <c r="AA32" s="659"/>
      <c r="AB32" s="1277"/>
      <c r="AC32" s="1277"/>
      <c r="AD32" s="1277"/>
      <c r="AE32" s="1277"/>
      <c r="AF32" s="1277"/>
      <c r="AG32" s="1277"/>
      <c r="AH32" s="1277"/>
      <c r="AI32" s="1277"/>
      <c r="AJ32" s="1277"/>
    </row>
    <row r="33" spans="1:16" ht="15">
      <c r="A33" s="1480"/>
      <c r="B33" s="2743" t="s">
        <v>1831</v>
      </c>
      <c r="C33" s="2744">
        <f ca="1">典型户型修正!R27</f>
        <v>27496</v>
      </c>
      <c r="D33" s="2532" t="s">
        <v>1832</v>
      </c>
      <c r="E33" s="947"/>
      <c r="F33" s="947"/>
      <c r="G33" s="947"/>
      <c r="H33" s="947"/>
      <c r="I33" s="947"/>
      <c r="J33" s="2814"/>
    </row>
    <row r="34" spans="1:16" ht="15">
      <c r="A34" s="1481" t="s">
        <v>1833</v>
      </c>
      <c r="B34" s="2745" t="s">
        <v>1834</v>
      </c>
      <c r="C34" s="2746">
        <f ca="1">典型户型修正!B2</f>
        <v>1082</v>
      </c>
      <c r="D34" s="2747" t="str">
        <f>IF('数据-取费表'!B3="万元","万元","元")</f>
        <v>万元</v>
      </c>
      <c r="E34" s="947"/>
      <c r="F34" s="947"/>
      <c r="G34" s="947"/>
      <c r="H34" s="947"/>
      <c r="I34" s="947"/>
      <c r="J34" s="2814"/>
    </row>
    <row r="35" spans="1:16" ht="15.75" thickBot="1">
      <c r="A35" s="1482"/>
      <c r="B35" s="2748" t="s">
        <v>1835</v>
      </c>
      <c r="C35" s="2697">
        <f ca="1">典型户型修正!B3</f>
        <v>27502</v>
      </c>
      <c r="D35" s="2532" t="s">
        <v>1836</v>
      </c>
      <c r="E35" s="947"/>
      <c r="F35" s="947"/>
      <c r="G35" s="947"/>
      <c r="H35" s="947"/>
      <c r="I35" s="947"/>
      <c r="J35" s="2814"/>
    </row>
    <row r="36" spans="1:16" ht="15">
      <c r="A36" s="1483"/>
      <c r="B36" s="1437" t="s">
        <v>1837</v>
      </c>
      <c r="C36" s="2749">
        <f>IF('数据-取费表'!B3="万元",典型户型修正!V25,典型户型修正!U25)</f>
        <v>0</v>
      </c>
      <c r="D36" s="2532" t="str">
        <f>D34</f>
        <v>万元</v>
      </c>
      <c r="E36" s="947"/>
      <c r="F36" s="947"/>
      <c r="G36" s="947"/>
      <c r="H36" s="947"/>
      <c r="I36" s="947"/>
      <c r="J36" s="2814"/>
    </row>
    <row r="37" spans="1:16" ht="15.75" thickBot="1">
      <c r="A37" s="1436"/>
      <c r="B37" s="1438" t="s">
        <v>1838</v>
      </c>
      <c r="C37" s="2750">
        <f>IF('数据-取费表'!B3="万元",典型户型修正!Y25,典型户型修正!X25)</f>
        <v>0</v>
      </c>
      <c r="D37" s="2532" t="str">
        <f>D34</f>
        <v>万元</v>
      </c>
      <c r="E37" s="947"/>
      <c r="F37" s="947"/>
      <c r="G37" s="947"/>
      <c r="H37" s="947"/>
      <c r="I37" s="947"/>
      <c r="J37" s="2814"/>
    </row>
    <row r="38" spans="1:16" ht="15.75" thickBot="1">
      <c r="A38" s="3495" t="s">
        <v>1839</v>
      </c>
      <c r="B38" s="1437" t="s">
        <v>1840</v>
      </c>
      <c r="C38" s="2724"/>
      <c r="D38" s="2725"/>
      <c r="E38" s="1649"/>
      <c r="F38" s="1649"/>
      <c r="G38" s="947"/>
      <c r="H38" s="947"/>
      <c r="I38" s="947"/>
      <c r="J38" s="2814"/>
    </row>
    <row r="39" spans="1:16" ht="15.75" thickBot="1">
      <c r="A39" s="3500"/>
      <c r="B39" s="2063" t="s">
        <v>1841</v>
      </c>
      <c r="C39" s="2726"/>
      <c r="D39" s="1280"/>
      <c r="E39" s="1280"/>
      <c r="F39" s="1649"/>
      <c r="G39" s="1280"/>
      <c r="H39" s="1280"/>
      <c r="I39" s="1280"/>
      <c r="J39" s="2818"/>
    </row>
    <row r="40" spans="1:16" ht="15.75" thickBot="1">
      <c r="A40" s="3501"/>
      <c r="B40" s="1438" t="s">
        <v>1842</v>
      </c>
      <c r="C40" s="2727"/>
      <c r="D40" s="2728" t="s">
        <v>1843</v>
      </c>
      <c r="E40" s="1280"/>
      <c r="F40" s="1649"/>
      <c r="G40" s="1280"/>
      <c r="H40" s="1280"/>
      <c r="I40" s="1280"/>
      <c r="J40" s="2818"/>
    </row>
    <row r="41" spans="1:16" ht="15">
      <c r="A41" s="2693" t="s">
        <v>1844</v>
      </c>
      <c r="B41" s="2729" t="s">
        <v>1845</v>
      </c>
      <c r="C41" s="2730" t="s">
        <v>1846</v>
      </c>
      <c r="D41" s="2730" t="s">
        <v>1847</v>
      </c>
      <c r="E41" s="2731" t="s">
        <v>1848</v>
      </c>
      <c r="F41" s="1649"/>
      <c r="G41" s="1280"/>
      <c r="H41" s="1280"/>
      <c r="I41" s="1280"/>
      <c r="J41" s="2818"/>
    </row>
    <row r="42" spans="1:16" ht="14.25">
      <c r="A42" s="2732" t="s">
        <v>1849</v>
      </c>
      <c r="B42" s="2733"/>
      <c r="C42" s="2734"/>
      <c r="D42" s="2734"/>
      <c r="E42" s="2735"/>
      <c r="F42" s="1649"/>
      <c r="G42" s="1280"/>
      <c r="H42" s="1280"/>
      <c r="I42" s="1280"/>
      <c r="J42" s="2818"/>
    </row>
    <row r="43" spans="1:16" ht="14.25">
      <c r="A43" s="2732" t="s">
        <v>1850</v>
      </c>
      <c r="B43" s="2733"/>
      <c r="C43" s="2734"/>
      <c r="D43" s="2734"/>
      <c r="E43" s="2735"/>
      <c r="F43" s="1649"/>
      <c r="G43" s="1280"/>
      <c r="H43" s="1280"/>
      <c r="I43" s="1280"/>
      <c r="J43" s="2818"/>
    </row>
    <row r="44" spans="1:16" ht="15" thickBot="1">
      <c r="A44" s="2736"/>
      <c r="B44" s="2737"/>
      <c r="C44" s="2738"/>
      <c r="D44" s="2738"/>
      <c r="E44" s="2723"/>
      <c r="F44" s="1649"/>
      <c r="G44" s="1280"/>
      <c r="H44" s="1280"/>
      <c r="I44" s="1280"/>
      <c r="J44" s="2818"/>
    </row>
    <row r="45" spans="1:16" ht="12.75">
      <c r="A45" s="1450"/>
      <c r="B45" s="1450"/>
      <c r="C45" s="1450"/>
      <c r="D45" s="1450"/>
      <c r="E45" s="1450"/>
      <c r="F45" s="1406"/>
      <c r="G45" s="1406"/>
      <c r="H45" s="1406"/>
      <c r="I45" s="2739"/>
      <c r="J45" s="2819"/>
    </row>
    <row r="46" spans="1:16" ht="18.75">
      <c r="A46" s="1440" t="s">
        <v>1851</v>
      </c>
      <c r="B46" s="1441"/>
      <c r="C46" s="1441"/>
      <c r="D46" s="2751"/>
      <c r="E46" s="2751"/>
      <c r="F46" s="2751"/>
      <c r="G46" s="2751"/>
      <c r="H46" s="2751"/>
      <c r="I46" s="2808" t="s">
        <v>2760</v>
      </c>
      <c r="J46" s="2844"/>
      <c r="K46" s="1444" t="s">
        <v>1706</v>
      </c>
      <c r="L46" s="1445"/>
      <c r="M46" s="1445"/>
      <c r="N46" s="1445"/>
      <c r="O46" s="1445"/>
      <c r="P46" s="1445"/>
    </row>
    <row r="47" spans="1:16" ht="14.25" customHeight="1" thickBot="1">
      <c r="A47" s="3420" t="s">
        <v>1852</v>
      </c>
      <c r="B47" s="3421"/>
      <c r="C47" s="3431"/>
      <c r="D47" s="246">
        <f ca="1">ROUND(I104*F47,0)</f>
        <v>1082</v>
      </c>
      <c r="E47" s="1511" t="s">
        <v>1853</v>
      </c>
      <c r="F47" s="2530">
        <v>1</v>
      </c>
      <c r="G47" s="2531" t="s">
        <v>1854</v>
      </c>
      <c r="H47" s="947"/>
      <c r="I47" s="947"/>
      <c r="J47" s="2814"/>
      <c r="K47" s="3525" t="s">
        <v>1710</v>
      </c>
      <c r="L47" s="3525"/>
      <c r="M47" s="3525"/>
      <c r="N47" s="3525"/>
      <c r="O47" s="3525"/>
      <c r="P47" s="3525"/>
    </row>
    <row r="48" spans="1:16" ht="14.25" customHeight="1">
      <c r="A48" s="3497" t="s">
        <v>1711</v>
      </c>
      <c r="B48" s="3498"/>
      <c r="C48" s="3498"/>
      <c r="D48" s="3498"/>
      <c r="E48" s="3498"/>
      <c r="F48" s="3498"/>
      <c r="G48" s="3499"/>
      <c r="H48" s="2946"/>
      <c r="I48" s="947"/>
      <c r="J48" s="2814"/>
      <c r="K48" s="2482">
        <v>1</v>
      </c>
      <c r="L48" s="3526" t="s">
        <v>1712</v>
      </c>
      <c r="M48" s="3526"/>
      <c r="N48" s="3527"/>
      <c r="O48" s="3527"/>
      <c r="P48" s="3527"/>
    </row>
    <row r="49" spans="1:17" ht="12" customHeight="1">
      <c r="A49" s="38" t="s">
        <v>1713</v>
      </c>
      <c r="B49" s="39"/>
      <c r="C49" s="40"/>
      <c r="D49" s="1069" t="s">
        <v>1714</v>
      </c>
      <c r="E49" s="235" t="s">
        <v>1715</v>
      </c>
      <c r="F49" s="41" t="s">
        <v>1716</v>
      </c>
      <c r="G49" s="2533" t="s">
        <v>1717</v>
      </c>
      <c r="H49" s="2946"/>
      <c r="I49" s="947"/>
      <c r="J49" s="2814"/>
      <c r="K49" s="2482">
        <v>2</v>
      </c>
      <c r="L49" s="3526" t="s">
        <v>1718</v>
      </c>
      <c r="M49" s="3526"/>
      <c r="N49" s="3529">
        <f>'数据-取费表'!B2</f>
        <v>44561</v>
      </c>
      <c r="O49" s="3529"/>
      <c r="P49" s="3529"/>
    </row>
    <row r="50" spans="1:17" ht="25.5">
      <c r="A50" s="3502" t="s">
        <v>1719</v>
      </c>
      <c r="B50" s="3436"/>
      <c r="C50" s="3436"/>
      <c r="D50" s="12">
        <f ca="1">IF(H50="情况1",0,IF(H50="情况2",D54,IF(H50="情况3",D55,IF(H50="情况4",D56))))</f>
        <v>58</v>
      </c>
      <c r="E50" s="2061" t="str">
        <f>IF(H50="情况4","(销售额-原购置价)×税（费）率","销售额×税（费）率")</f>
        <v>销售额×税（费）率</v>
      </c>
      <c r="F50" s="2534">
        <f>IF(H50="情况1","免征",'数据-取费表'!E29)</f>
        <v>5.6000000000000001E-2</v>
      </c>
      <c r="G50" s="2535" t="s">
        <v>1720</v>
      </c>
      <c r="H50" s="2536" t="s">
        <v>1721</v>
      </c>
      <c r="I50" s="2946"/>
      <c r="J50" s="2821"/>
      <c r="K50" s="2482">
        <v>3</v>
      </c>
      <c r="L50" s="3526" t="s">
        <v>1722</v>
      </c>
      <c r="M50" s="3526"/>
      <c r="N50" s="3531">
        <f ca="1">I104</f>
        <v>1082</v>
      </c>
      <c r="O50" s="3531"/>
      <c r="P50" s="3531"/>
    </row>
    <row r="51" spans="1:17" ht="25.5" customHeight="1">
      <c r="A51" s="2060" t="s">
        <v>1723</v>
      </c>
      <c r="B51" s="3475" t="s">
        <v>1724</v>
      </c>
      <c r="C51" s="3475"/>
      <c r="D51" s="2537">
        <v>0</v>
      </c>
      <c r="E51" s="261" t="s">
        <v>1725</v>
      </c>
      <c r="F51" s="2538" t="s">
        <v>48</v>
      </c>
      <c r="G51" s="3417"/>
      <c r="H51" s="2539" t="s">
        <v>2685</v>
      </c>
      <c r="I51" s="2540"/>
      <c r="J51" s="2822"/>
      <c r="K51" s="2482">
        <v>4</v>
      </c>
      <c r="L51" s="3526" t="str">
        <f>IF(项目基本情况!F5="房地产抵押价值","房地产抵押价值","抵押担保权已注销时的房地产抵押价值")</f>
        <v>房地产抵押价值</v>
      </c>
      <c r="M51" s="3526"/>
      <c r="N51" s="3531">
        <f ca="1">IF(项目基本情况!F5="房地产抵押价值",I112,I114)</f>
        <v>1082</v>
      </c>
      <c r="O51" s="3531"/>
      <c r="P51" s="3531"/>
    </row>
    <row r="52" spans="1:17" ht="25.5" customHeight="1">
      <c r="A52" s="2050"/>
      <c r="B52" s="3475" t="s">
        <v>1726</v>
      </c>
      <c r="C52" s="3475"/>
      <c r="D52" s="2541"/>
      <c r="E52" s="269"/>
      <c r="F52" s="2538"/>
      <c r="G52" s="3418"/>
      <c r="H52" s="2542" t="s">
        <v>2686</v>
      </c>
      <c r="I52" s="2540"/>
      <c r="J52" s="2822"/>
      <c r="K52" s="3526" t="s">
        <v>1727</v>
      </c>
      <c r="L52" s="3526"/>
      <c r="M52" s="3526"/>
      <c r="N52" s="3526"/>
      <c r="O52" s="3526"/>
      <c r="P52" s="3526"/>
    </row>
    <row r="53" spans="1:17" ht="20.45" customHeight="1">
      <c r="A53" s="2543"/>
      <c r="B53" s="3475" t="s">
        <v>1728</v>
      </c>
      <c r="C53" s="3475"/>
      <c r="D53" s="1069"/>
      <c r="E53" s="264"/>
      <c r="F53" s="2538"/>
      <c r="G53" s="3419"/>
      <c r="H53" s="2542" t="s">
        <v>2687</v>
      </c>
      <c r="I53" s="2540"/>
      <c r="J53" s="2822"/>
      <c r="K53" s="2483" t="s">
        <v>1729</v>
      </c>
      <c r="L53" s="3526" t="s">
        <v>1730</v>
      </c>
      <c r="M53" s="3526"/>
      <c r="N53" s="2483" t="s">
        <v>1731</v>
      </c>
      <c r="O53" s="2483" t="s">
        <v>1732</v>
      </c>
      <c r="P53" s="2483" t="s">
        <v>1733</v>
      </c>
    </row>
    <row r="54" spans="1:17" ht="24" customHeight="1">
      <c r="A54" s="2051" t="s">
        <v>1734</v>
      </c>
      <c r="B54" s="3475" t="s">
        <v>1735</v>
      </c>
      <c r="C54" s="3475"/>
      <c r="D54" s="1069">
        <f ca="1">ROUND(D47*'数据-取费表'!E29/(1+'数据-取费表'!F30),0)</f>
        <v>58</v>
      </c>
      <c r="E54" s="2061" t="s">
        <v>1736</v>
      </c>
      <c r="F54" s="2544">
        <f>'数据-取费表'!E29</f>
        <v>5.6000000000000001E-2</v>
      </c>
      <c r="G54" s="2545"/>
      <c r="H54" s="947"/>
      <c r="I54" s="2947"/>
      <c r="J54" s="2822"/>
      <c r="K54" s="2482">
        <v>1</v>
      </c>
      <c r="L54" s="3528" t="s">
        <v>1737</v>
      </c>
      <c r="M54" s="3528"/>
      <c r="N54" s="2484">
        <f ca="1">D50</f>
        <v>58</v>
      </c>
      <c r="O54" s="2482" t="str">
        <f>E50</f>
        <v>销售额×税（费）率</v>
      </c>
      <c r="P54" s="2485">
        <f>F50</f>
        <v>5.6000000000000001E-2</v>
      </c>
    </row>
    <row r="55" spans="1:17" ht="12" customHeight="1">
      <c r="A55" s="2051" t="s">
        <v>1738</v>
      </c>
      <c r="B55" s="3487" t="s">
        <v>2779</v>
      </c>
      <c r="C55" s="3476"/>
      <c r="D55" s="1069">
        <f ca="1">ROUND(D47*'数据-取费表'!E29/(1+'数据-取费表'!F30),0)</f>
        <v>58</v>
      </c>
      <c r="E55" s="2061" t="s">
        <v>1736</v>
      </c>
      <c r="F55" s="2544">
        <f>'数据-取费表'!E29</f>
        <v>5.6000000000000001E-2</v>
      </c>
      <c r="G55" s="2545"/>
      <c r="H55" s="947"/>
      <c r="I55" s="2947"/>
      <c r="J55" s="2822"/>
      <c r="K55" s="2482">
        <v>2</v>
      </c>
      <c r="L55" s="3528" t="s">
        <v>1739</v>
      </c>
      <c r="M55" s="3528"/>
      <c r="N55" s="2484">
        <f t="shared" ref="N55:P56" ca="1" si="1">D57</f>
        <v>1</v>
      </c>
      <c r="O55" s="2482" t="str">
        <f t="shared" si="1"/>
        <v>销售额×税（费）率</v>
      </c>
      <c r="P55" s="2485">
        <f t="shared" si="1"/>
        <v>5.0000000000000001E-4</v>
      </c>
    </row>
    <row r="56" spans="1:17" ht="12" customHeight="1">
      <c r="A56" s="2051" t="s">
        <v>1740</v>
      </c>
      <c r="B56" s="3487" t="s">
        <v>2780</v>
      </c>
      <c r="C56" s="3476"/>
      <c r="D56" s="1069">
        <f ca="1">C70</f>
        <v>58</v>
      </c>
      <c r="E56" s="264" t="s">
        <v>1741</v>
      </c>
      <c r="F56" s="2544">
        <f>'数据-取费表'!E29</f>
        <v>5.6000000000000001E-2</v>
      </c>
      <c r="G56" s="2545"/>
      <c r="H56" s="2948"/>
      <c r="I56" s="2947"/>
      <c r="J56" s="2822"/>
      <c r="K56" s="2482">
        <v>3</v>
      </c>
      <c r="L56" s="3528" t="s">
        <v>1742</v>
      </c>
      <c r="M56" s="3528"/>
      <c r="N56" s="2484">
        <f t="shared" ca="1" si="1"/>
        <v>612</v>
      </c>
      <c r="O56" s="2482" t="str">
        <f t="shared" si="1"/>
        <v>增值额×税（费）率</v>
      </c>
      <c r="P56" s="2486" t="str">
        <f t="shared" si="1"/>
        <v>——</v>
      </c>
    </row>
    <row r="57" spans="1:17" ht="24" customHeight="1">
      <c r="A57" s="3440" t="s">
        <v>1743</v>
      </c>
      <c r="B57" s="3436"/>
      <c r="C57" s="3436"/>
      <c r="D57" s="12">
        <f ca="1">IF(H57="个人住宅",0,ROUND(D47*I57,0))</f>
        <v>1</v>
      </c>
      <c r="E57" s="2061" t="s">
        <v>1744</v>
      </c>
      <c r="F57" s="2544">
        <f>IF(H57="正常",I57,"免征")</f>
        <v>5.0000000000000001E-4</v>
      </c>
      <c r="G57" s="2545"/>
      <c r="H57" s="2536" t="s">
        <v>1745</v>
      </c>
      <c r="I57" s="74">
        <f>'数据-取费表'!E37</f>
        <v>5.0000000000000001E-4</v>
      </c>
      <c r="J57" s="2822"/>
      <c r="K57" s="2482">
        <f>IF(H61="非个人房产","",4)</f>
        <v>4</v>
      </c>
      <c r="L57" s="3528" t="str">
        <f>IF(H61="非个人房产","——","个人所得税")</f>
        <v>个人所得税</v>
      </c>
      <c r="M57" s="3528"/>
      <c r="N57" s="2487">
        <f ca="1">D61</f>
        <v>11</v>
      </c>
      <c r="O57" s="2488" t="str">
        <f>E61</f>
        <v>销售额×税（费）率</v>
      </c>
      <c r="P57" s="2489">
        <f>F61</f>
        <v>0.01</v>
      </c>
    </row>
    <row r="58" spans="1:17" ht="24.75">
      <c r="A58" s="3440" t="s">
        <v>1746</v>
      </c>
      <c r="B58" s="3436"/>
      <c r="C58" s="3436"/>
      <c r="D58" s="12">
        <f ca="1">IF(H58="个人住宅",D59,D60)</f>
        <v>612</v>
      </c>
      <c r="E58" s="2061" t="s">
        <v>1747</v>
      </c>
      <c r="F58" s="2544" t="str">
        <f>IF(H58="正常",F60,"免征")</f>
        <v>——</v>
      </c>
      <c r="G58" s="2546" t="s">
        <v>1748</v>
      </c>
      <c r="H58" s="2547" t="s">
        <v>1745</v>
      </c>
      <c r="I58" s="2949"/>
      <c r="J58" s="2822"/>
      <c r="K58" s="2482" t="str">
        <f>IF(项目基本情况!I6="上海银行",IF(K57="",4,K57+1),"")</f>
        <v/>
      </c>
      <c r="L58" s="3532" t="str">
        <f>IF(项目基本情况!I6="上海银行","其他处置费用","")</f>
        <v/>
      </c>
      <c r="M58" s="3537"/>
      <c r="N58" s="2484" t="str">
        <f>IF(项目基本情况!I6="上海银行",N71,"")</f>
        <v/>
      </c>
      <c r="O58" s="3532" t="str">
        <f>IF(项目基本情况!I6="上海银行","包含处置中涉及的律师、诉讼、拍卖、评估等费用","")</f>
        <v/>
      </c>
      <c r="P58" s="3533"/>
    </row>
    <row r="59" spans="1:17" ht="12.75">
      <c r="A59" s="2051" t="s">
        <v>1723</v>
      </c>
      <c r="B59" s="3487" t="s">
        <v>1749</v>
      </c>
      <c r="C59" s="3476"/>
      <c r="D59" s="2537">
        <v>0</v>
      </c>
      <c r="E59" s="261" t="s">
        <v>1725</v>
      </c>
      <c r="F59" s="235"/>
      <c r="G59" s="2545"/>
      <c r="H59" s="2949"/>
      <c r="I59" s="2949"/>
      <c r="J59" s="2822"/>
      <c r="K59" s="3528">
        <f>IF(AND(K57="",K58=""),4,IF(项目基本情况!I6="上海银行",K58+1,K57+1))</f>
        <v>5</v>
      </c>
      <c r="L59" s="3528" t="s">
        <v>1750</v>
      </c>
      <c r="M59" s="2490" t="s">
        <v>1751</v>
      </c>
      <c r="N59" s="2491"/>
      <c r="O59" s="2492">
        <f ca="1">SUMIF(N54:N58,"&lt;9e307")</f>
        <v>682</v>
      </c>
      <c r="P59" s="2493"/>
      <c r="Q59" s="1275">
        <f ca="1">O59/N51</f>
        <v>0.63031423290203326</v>
      </c>
    </row>
    <row r="60" spans="1:17" ht="24.75">
      <c r="A60" s="2051" t="s">
        <v>1734</v>
      </c>
      <c r="B60" s="3487" t="s">
        <v>1752</v>
      </c>
      <c r="C60" s="3475"/>
      <c r="D60" s="12">
        <f ca="1">IF(H60="转让取得",C83,C99)</f>
        <v>612</v>
      </c>
      <c r="E60" s="2061" t="s">
        <v>1747</v>
      </c>
      <c r="F60" s="235" t="s">
        <v>48</v>
      </c>
      <c r="G60" s="2545"/>
      <c r="H60" s="2547" t="s">
        <v>1753</v>
      </c>
      <c r="I60" s="2949"/>
      <c r="J60" s="2822"/>
      <c r="K60" s="3528"/>
      <c r="L60" s="3528"/>
      <c r="M60" s="2490" t="s">
        <v>1754</v>
      </c>
      <c r="N60" s="2494"/>
      <c r="O60" s="2495" t="str">
        <f ca="1">IF(H19="元",NUMBERSTRING(INT(O59),2)&amp;"元整",NUMBERSTRING(INT(O59*10000),2)&amp;"元整")</f>
        <v>陆佰捌拾贰万元整</v>
      </c>
      <c r="P60" s="2496"/>
    </row>
    <row r="61" spans="1:17" ht="26.25" thickBot="1">
      <c r="A61" s="3503" t="s">
        <v>1755</v>
      </c>
      <c r="B61" s="3504"/>
      <c r="C61" s="3504"/>
      <c r="D61" s="69">
        <f ca="1">IF(H61="非个人房产","——",IF(H61="个人住宅（满五唯一有凭证）",0,IF(H61="个人其他（无凭证）",ROUND(D47*F61,0),ROUND(C69*F61,0))))</f>
        <v>11</v>
      </c>
      <c r="E61" s="2052"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2758</v>
      </c>
      <c r="H61" s="2065" t="s">
        <v>2684</v>
      </c>
      <c r="I61" s="2850" t="s">
        <v>2770</v>
      </c>
      <c r="J61" s="2822"/>
      <c r="K61" s="3534">
        <f>K59+1</f>
        <v>6</v>
      </c>
      <c r="L61" s="3528" t="s">
        <v>1756</v>
      </c>
      <c r="M61" s="2482" t="s">
        <v>1751</v>
      </c>
      <c r="N61" s="2497"/>
      <c r="O61" s="2498">
        <f ca="1">N51-O59</f>
        <v>400</v>
      </c>
      <c r="P61" s="2499"/>
    </row>
    <row r="62" spans="1:17" ht="12" customHeight="1">
      <c r="A62" s="1426"/>
      <c r="B62" s="2532"/>
      <c r="C62" s="2532"/>
      <c r="D62" s="2532"/>
      <c r="E62" s="1426"/>
      <c r="F62" s="2949"/>
      <c r="G62" s="2949"/>
      <c r="H62" s="2944"/>
      <c r="I62" s="947"/>
      <c r="J62" s="2822"/>
      <c r="K62" s="3535"/>
      <c r="L62" s="3528"/>
      <c r="M62" s="2490" t="s">
        <v>1754</v>
      </c>
      <c r="N62" s="2494"/>
      <c r="O62" s="2495" t="str">
        <f ca="1">IF(H19="元",NUMBERSTRING(INT(O61),2)&amp;"元整",NUMBERSTRING(INT(O61*10000),2)&amp;"元整")</f>
        <v>肆佰万元整</v>
      </c>
      <c r="P62" s="2496"/>
    </row>
    <row r="63" spans="1:17" ht="13.5" thickBot="1">
      <c r="A63" s="3536" t="s">
        <v>1757</v>
      </c>
      <c r="B63" s="3536"/>
      <c r="C63" s="3536"/>
      <c r="D63" s="3536"/>
      <c r="E63" s="3536"/>
      <c r="F63" s="2949"/>
      <c r="G63" s="2949"/>
      <c r="H63" s="2944"/>
      <c r="I63" s="947"/>
      <c r="J63" s="2814"/>
      <c r="K63" s="2482">
        <f>K61+1</f>
        <v>7</v>
      </c>
      <c r="L63" s="3528" t="s">
        <v>1758</v>
      </c>
      <c r="M63" s="3528"/>
      <c r="N63" s="2500"/>
      <c r="O63" s="2501">
        <f ca="1">IF(H19="元",ROUND(O61/项目基本情况!C12,0),ROUND(O61*10000/项目基本情况!C12,0))</f>
        <v>10167</v>
      </c>
      <c r="P63" s="2502"/>
    </row>
    <row r="64" spans="1:17" ht="12.75">
      <c r="A64" s="3454" t="s">
        <v>1759</v>
      </c>
      <c r="B64" s="3455"/>
      <c r="C64" s="1576"/>
      <c r="D64" s="1576" t="s">
        <v>1760</v>
      </c>
      <c r="E64" s="45" t="s">
        <v>1761</v>
      </c>
      <c r="F64" s="2949"/>
      <c r="G64" s="2949"/>
      <c r="H64" s="2944"/>
      <c r="I64" s="947"/>
      <c r="J64" s="2814"/>
      <c r="K64" s="1277"/>
      <c r="L64" s="1277"/>
      <c r="M64" s="1277"/>
      <c r="N64" s="1277"/>
      <c r="O64" s="1277"/>
    </row>
    <row r="65" spans="1:36" ht="12.75">
      <c r="A65" s="46">
        <v>1</v>
      </c>
      <c r="B65" s="47" t="s">
        <v>1762</v>
      </c>
      <c r="C65" s="2753">
        <f ca="1">ROUND((C66+C67)/(1+'数据-取费表'!F30),0)</f>
        <v>1030</v>
      </c>
      <c r="D65" s="47"/>
      <c r="E65" s="48"/>
      <c r="F65" s="2949"/>
      <c r="G65" s="2949"/>
      <c r="H65" s="2944"/>
      <c r="I65" s="947"/>
      <c r="J65" s="2814"/>
      <c r="K65" s="3524" t="s">
        <v>1763</v>
      </c>
      <c r="L65" s="1276" t="s">
        <v>1764</v>
      </c>
      <c r="M65" s="1276">
        <f ca="1">IF(N51&gt;10000,N51*0.5%,IF(AND(N51&gt;1000,N51&lt;=10000),N51*1%,IF(AND(N51&gt;100,N51&lt;=1000),N51*3%,IF(AND(N51&gt;10,N51&lt;=100),N51*5%,N51*8%))))</f>
        <v>10.82</v>
      </c>
      <c r="N65" s="235">
        <f ca="1">ROUND(M65,1)</f>
        <v>10.8</v>
      </c>
      <c r="O65" s="2503"/>
    </row>
    <row r="66" spans="1:36" ht="12.75">
      <c r="A66" s="49" t="s">
        <v>71</v>
      </c>
      <c r="B66" s="50" t="s">
        <v>1765</v>
      </c>
      <c r="C66" s="2754">
        <f ca="1">D47</f>
        <v>1082</v>
      </c>
      <c r="D66" s="50" t="s">
        <v>41</v>
      </c>
      <c r="E66" s="52"/>
      <c r="F66" s="2949"/>
      <c r="G66" s="2949"/>
      <c r="H66" s="2944"/>
      <c r="I66" s="947"/>
      <c r="J66" s="2814"/>
      <c r="K66" s="3524"/>
      <c r="L66" s="1276" t="s">
        <v>1766</v>
      </c>
      <c r="M66" s="1276">
        <f ca="1">IF(N51&gt;2000,N51*0.5%,IF(AND(N51&gt;1000,N51&lt;=2000),N51*0.6%,IF(AND(N51&gt;500,N51&lt;=1000),N51*0.7%,IF(AND(N51&gt;200,N51&lt;=500),N51*0.8%,IF(AND(N51&gt;100,N51&lt;=200),N51*0.9%,IF(AND(N51&gt;50,N51&lt;=100),N51*1%,IF(AND(N51&gt;20,N51&lt;=50),N51*1.5%,IF(AND(N51&gt;10,N51&lt;=20),N51*2%,IF(AND(N51&gt;1,N51&lt;=10),N51*2.5%)))))))))</f>
        <v>6.492</v>
      </c>
      <c r="N66" s="235">
        <f t="shared" ref="N66:N67" ca="1" si="2">ROUND(M66,1)</f>
        <v>6.5</v>
      </c>
      <c r="O66" s="2503" t="s">
        <v>1767</v>
      </c>
    </row>
    <row r="67" spans="1:36" ht="12.75">
      <c r="A67" s="49" t="s">
        <v>72</v>
      </c>
      <c r="B67" s="50" t="s">
        <v>1768</v>
      </c>
      <c r="C67" s="2755"/>
      <c r="D67" s="50"/>
      <c r="E67" s="52"/>
      <c r="F67" s="2949"/>
      <c r="G67" s="2949"/>
      <c r="H67" s="2944"/>
      <c r="I67" s="947"/>
      <c r="J67" s="2814"/>
      <c r="K67" s="3524"/>
      <c r="L67" s="1276" t="s">
        <v>1769</v>
      </c>
      <c r="M67" s="1276">
        <f ca="1">IF(N51&gt;1000,N51*0.1%,IF(AND(N51&gt;500,N51&lt;=1000),N51*0.5%,IF(AND(N51&gt;50,N51&lt;=500),N51*1%,IF(AND(N51&gt;1,N51&lt;=50),N51*1.5%))))</f>
        <v>1.0820000000000001</v>
      </c>
      <c r="N67" s="235">
        <f t="shared" ca="1" si="2"/>
        <v>1.1000000000000001</v>
      </c>
      <c r="O67" s="2503" t="s">
        <v>1767</v>
      </c>
    </row>
    <row r="68" spans="1:36" ht="12.75">
      <c r="A68" s="53" t="s">
        <v>47</v>
      </c>
      <c r="B68" s="54" t="s">
        <v>1770</v>
      </c>
      <c r="C68" s="2756"/>
      <c r="D68" s="54" t="s">
        <v>41</v>
      </c>
      <c r="E68" s="1285" t="s">
        <v>1771</v>
      </c>
      <c r="F68" s="2949"/>
      <c r="G68" s="2949"/>
      <c r="H68" s="2944"/>
      <c r="I68" s="947"/>
      <c r="J68" s="2814"/>
      <c r="K68" s="3524"/>
      <c r="L68" s="1276" t="s">
        <v>1772</v>
      </c>
      <c r="M68" s="1276">
        <f ca="1">N51*0.5%</f>
        <v>5.41</v>
      </c>
      <c r="N68" s="235">
        <f ca="1">IF(M68&gt;0.5,0.5,ROUND(M68,0))</f>
        <v>0.5</v>
      </c>
      <c r="O68" s="2503" t="s">
        <v>1773</v>
      </c>
    </row>
    <row r="69" spans="1:36" ht="12.75">
      <c r="A69" s="53" t="s">
        <v>42</v>
      </c>
      <c r="B69" s="54" t="s">
        <v>1774</v>
      </c>
      <c r="C69" s="2757">
        <f ca="1">C65-C68</f>
        <v>1030</v>
      </c>
      <c r="D69" s="50" t="s">
        <v>41</v>
      </c>
      <c r="E69" s="52"/>
      <c r="F69" s="2949"/>
      <c r="G69" s="2949"/>
      <c r="H69" s="2944"/>
      <c r="I69" s="947"/>
      <c r="J69" s="2814"/>
      <c r="K69" s="3524"/>
      <c r="L69" s="1276" t="s">
        <v>1775</v>
      </c>
      <c r="M69" s="1276">
        <f ca="1">IF(N51&gt;=10000,(8.25+(N51-10000)*0.01%),IF(AND(N51&gt;=8000,N51&lt;10000),(7.85+(N51-8000)*0.02%),IF(AND(N51&gt;=5000,N51&lt;8000),(6.65+(N51-5000)*0.04%),IF(AND(N51&gt;=2000,N51&lt;5000),(4.25+(PN51-2000)*0.08%),IF(AND(N51&gt;=1000,N51&lt;2000),(2.75+(N51-1000)*0.15%),IF(AND(N51&gt;=100,N51&lt;1000),(0.5+(N51-100)*0.25%),IF(AND(N51&gt;0,N51&lt;100),N51*0.5%)))))))</f>
        <v>2.8730000000000002</v>
      </c>
      <c r="N69" s="235">
        <f ca="1">ROUND(M69*0.9,1)</f>
        <v>2.6</v>
      </c>
      <c r="O69" s="2503"/>
    </row>
    <row r="70" spans="1:36" ht="13.5" thickBot="1">
      <c r="A70" s="55" t="s">
        <v>46</v>
      </c>
      <c r="B70" s="56" t="s">
        <v>1776</v>
      </c>
      <c r="C70" s="2758">
        <f ca="1">IF(C69&lt;=0,0,ROUND(C69*D70,0))</f>
        <v>58</v>
      </c>
      <c r="D70" s="2211">
        <f>'数据-取费表'!E29</f>
        <v>5.6000000000000001E-2</v>
      </c>
      <c r="E70" s="57"/>
      <c r="F70" s="2949"/>
      <c r="G70" s="2949"/>
      <c r="H70" s="2944"/>
      <c r="I70" s="947"/>
      <c r="J70" s="2814"/>
      <c r="K70" s="3524"/>
      <c r="L70" s="1276" t="s">
        <v>1777</v>
      </c>
      <c r="M70" s="1276">
        <f ca="1">IF(N51&gt;10000,N51*0.5%,IF(AND(N51&gt;5000,N51&lt;=10000),N51*1%,IF(AND(N51&gt;1000,N51&lt;=5000),N51*2%,IF(AND(N51&gt;200,N51&lt;=1000),N51*3%,N51*5%))))</f>
        <v>21.64</v>
      </c>
      <c r="N70" s="235">
        <f ca="1">ROUND(M70,1)</f>
        <v>21.6</v>
      </c>
      <c r="O70" s="2503"/>
    </row>
    <row r="71" spans="1:36" s="1434" customFormat="1" ht="7.5" customHeight="1">
      <c r="A71" s="1446"/>
      <c r="B71" s="1447"/>
      <c r="C71" s="2759"/>
      <c r="D71" s="2254"/>
      <c r="E71" s="1450"/>
      <c r="F71" s="1426"/>
      <c r="G71" s="1426"/>
      <c r="H71" s="1450"/>
      <c r="I71" s="2532"/>
      <c r="J71" s="2814"/>
      <c r="K71" s="3524"/>
      <c r="L71" s="1276" t="s">
        <v>1778</v>
      </c>
      <c r="M71" s="1276"/>
      <c r="N71" s="235">
        <f ca="1">ROUND(SUM(N65:N70),0)</f>
        <v>43</v>
      </c>
      <c r="O71" s="2504">
        <f ca="1">N71/N51</f>
        <v>3.9741219963031427E-2</v>
      </c>
      <c r="P71" s="659"/>
      <c r="Q71" s="659"/>
      <c r="R71" s="659"/>
      <c r="S71" s="659"/>
      <c r="T71" s="659"/>
      <c r="U71" s="659"/>
      <c r="V71" s="659"/>
      <c r="W71" s="659"/>
      <c r="X71" s="659"/>
      <c r="Y71" s="659"/>
      <c r="Z71" s="659"/>
      <c r="AA71" s="659"/>
      <c r="AB71" s="1277"/>
      <c r="AC71" s="1277"/>
      <c r="AD71" s="1277"/>
      <c r="AE71" s="1277"/>
      <c r="AF71" s="1277"/>
      <c r="AG71" s="1277"/>
      <c r="AH71" s="1277"/>
      <c r="AI71" s="1277"/>
      <c r="AJ71" s="1277"/>
    </row>
    <row r="72" spans="1:36" s="1452" customFormat="1" ht="15" thickBot="1">
      <c r="A72" s="3541" t="s">
        <v>1779</v>
      </c>
      <c r="B72" s="3542"/>
      <c r="C72" s="3542"/>
      <c r="D72" s="3542"/>
      <c r="E72" s="3542"/>
      <c r="F72" s="3542"/>
      <c r="G72" s="3542"/>
      <c r="H72" s="3542"/>
      <c r="I72" s="1451"/>
      <c r="J72" s="2823"/>
      <c r="K72" s="976"/>
      <c r="L72" s="976"/>
      <c r="M72" s="976"/>
      <c r="N72" s="976"/>
      <c r="O72" s="976"/>
      <c r="P72" s="976"/>
      <c r="Q72" s="976"/>
      <c r="R72" s="976"/>
      <c r="S72" s="976"/>
      <c r="T72" s="976"/>
      <c r="U72" s="976"/>
      <c r="V72" s="976"/>
      <c r="W72" s="976"/>
      <c r="X72" s="976"/>
      <c r="Y72" s="976"/>
      <c r="Z72" s="976"/>
      <c r="AA72" s="976"/>
      <c r="AB72" s="1453"/>
      <c r="AC72" s="1453"/>
      <c r="AD72" s="1453"/>
      <c r="AE72" s="1453"/>
      <c r="AF72" s="1453"/>
      <c r="AG72" s="1453"/>
      <c r="AH72" s="1453"/>
      <c r="AI72" s="1453"/>
      <c r="AJ72" s="1453"/>
    </row>
    <row r="73" spans="1:36" s="1452" customFormat="1" ht="14.25">
      <c r="A73" s="3454" t="s">
        <v>1759</v>
      </c>
      <c r="B73" s="3455"/>
      <c r="C73" s="1576"/>
      <c r="D73" s="1576" t="s">
        <v>1760</v>
      </c>
      <c r="E73" s="58" t="s">
        <v>1761</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3"/>
      <c r="AC73" s="1453"/>
      <c r="AD73" s="1453"/>
      <c r="AE73" s="1453"/>
      <c r="AF73" s="1453"/>
      <c r="AG73" s="1453"/>
      <c r="AH73" s="1453"/>
      <c r="AI73" s="1453"/>
      <c r="AJ73" s="1453"/>
    </row>
    <row r="74" spans="1:36" s="1452" customFormat="1" ht="14.25">
      <c r="A74" s="61">
        <v>1</v>
      </c>
      <c r="B74" s="54" t="s">
        <v>1780</v>
      </c>
      <c r="C74" s="2757">
        <f ca="1">ROUND(D47/(1+'数据-取费表'!F30),0)</f>
        <v>1030</v>
      </c>
      <c r="D74" s="50" t="s">
        <v>41</v>
      </c>
      <c r="E74" s="2057"/>
      <c r="F74" s="2058"/>
      <c r="G74" s="2058"/>
      <c r="H74" s="62"/>
      <c r="I74" s="2760"/>
      <c r="J74" s="2845"/>
      <c r="K74" s="976"/>
      <c r="L74" s="976"/>
      <c r="M74" s="976"/>
      <c r="N74" s="976"/>
      <c r="O74" s="976"/>
      <c r="P74" s="976"/>
      <c r="Q74" s="976"/>
      <c r="R74" s="976"/>
      <c r="S74" s="976"/>
      <c r="T74" s="976"/>
      <c r="U74" s="976"/>
      <c r="V74" s="976"/>
      <c r="W74" s="976"/>
      <c r="X74" s="976"/>
      <c r="Y74" s="976"/>
      <c r="Z74" s="976"/>
      <c r="AA74" s="976"/>
      <c r="AB74" s="1453"/>
      <c r="AC74" s="1453"/>
      <c r="AD74" s="1453"/>
      <c r="AE74" s="1453"/>
      <c r="AF74" s="1453"/>
      <c r="AG74" s="1453"/>
      <c r="AH74" s="1453"/>
      <c r="AI74" s="1453"/>
      <c r="AJ74" s="1453"/>
    </row>
    <row r="75" spans="1:36" s="1452" customFormat="1" ht="14.25">
      <c r="A75" s="63">
        <v>2</v>
      </c>
      <c r="B75" s="41" t="s">
        <v>1782</v>
      </c>
      <c r="C75" s="2757">
        <f ca="1">C76+C80</f>
        <v>6</v>
      </c>
      <c r="D75" s="50" t="s">
        <v>41</v>
      </c>
      <c r="E75" s="2057"/>
      <c r="F75" s="2058"/>
      <c r="G75" s="2058"/>
      <c r="H75" s="62"/>
      <c r="I75" s="2760"/>
      <c r="J75" s="2845"/>
      <c r="K75" s="976"/>
      <c r="L75" s="976"/>
      <c r="M75" s="976"/>
      <c r="N75" s="976"/>
      <c r="O75" s="976"/>
      <c r="P75" s="976"/>
      <c r="Q75" s="976"/>
      <c r="R75" s="976"/>
      <c r="S75" s="976"/>
      <c r="T75" s="976"/>
      <c r="U75" s="976"/>
      <c r="V75" s="976"/>
      <c r="W75" s="976"/>
      <c r="X75" s="976"/>
      <c r="Y75" s="976"/>
      <c r="Z75" s="976"/>
      <c r="AA75" s="976"/>
      <c r="AB75" s="1453"/>
      <c r="AC75" s="1453"/>
      <c r="AD75" s="1453"/>
      <c r="AE75" s="1453"/>
      <c r="AF75" s="1453"/>
      <c r="AG75" s="1453"/>
      <c r="AH75" s="1453"/>
      <c r="AI75" s="1453"/>
      <c r="AJ75" s="1453"/>
    </row>
    <row r="76" spans="1:36" s="1452" customFormat="1" ht="14.25">
      <c r="A76" s="49" t="s">
        <v>73</v>
      </c>
      <c r="B76" s="50" t="s">
        <v>1783</v>
      </c>
      <c r="C76" s="50">
        <f>ROUND(IF(G79="2016年5月1日后购买",C77/(1+'数据-取费表'!F30)+C78+C79,C77+C78+C79),0)</f>
        <v>0</v>
      </c>
      <c r="D76" s="50" t="s">
        <v>41</v>
      </c>
      <c r="E76" s="2057"/>
      <c r="F76" s="2058"/>
      <c r="G76" s="2058"/>
      <c r="H76" s="62"/>
      <c r="I76" s="2760"/>
      <c r="J76" s="2845"/>
      <c r="K76" s="976"/>
      <c r="L76" s="976"/>
      <c r="M76" s="976"/>
      <c r="N76" s="976"/>
      <c r="O76" s="976"/>
      <c r="P76" s="976"/>
      <c r="Q76" s="976"/>
      <c r="R76" s="976"/>
      <c r="S76" s="976"/>
      <c r="T76" s="976"/>
      <c r="U76" s="976"/>
      <c r="V76" s="976"/>
      <c r="W76" s="976"/>
      <c r="X76" s="976"/>
      <c r="Y76" s="976"/>
      <c r="Z76" s="976"/>
      <c r="AA76" s="976"/>
      <c r="AB76" s="1453"/>
      <c r="AC76" s="1453"/>
      <c r="AD76" s="1453"/>
      <c r="AE76" s="1453"/>
      <c r="AF76" s="1453"/>
      <c r="AG76" s="1453"/>
      <c r="AH76" s="1453"/>
      <c r="AI76" s="1453"/>
      <c r="AJ76" s="1453"/>
    </row>
    <row r="77" spans="1:36" s="1452" customFormat="1" ht="14.25">
      <c r="A77" s="49" t="s">
        <v>74</v>
      </c>
      <c r="B77" s="50" t="s">
        <v>1784</v>
      </c>
      <c r="C77" s="2237"/>
      <c r="D77" s="50" t="s">
        <v>41</v>
      </c>
      <c r="E77" s="64" t="s">
        <v>1785</v>
      </c>
      <c r="F77" s="2761" t="s">
        <v>1786</v>
      </c>
      <c r="G77" s="64" t="s">
        <v>1787</v>
      </c>
      <c r="H77" s="2762"/>
      <c r="I77" s="608"/>
      <c r="J77" s="2846"/>
      <c r="K77" s="976"/>
      <c r="L77" s="976"/>
      <c r="M77" s="976"/>
      <c r="N77" s="976"/>
      <c r="O77" s="976"/>
      <c r="P77" s="976"/>
      <c r="Q77" s="976"/>
      <c r="R77" s="976"/>
      <c r="S77" s="976"/>
      <c r="T77" s="976"/>
      <c r="U77" s="976"/>
      <c r="V77" s="976"/>
      <c r="W77" s="976"/>
      <c r="X77" s="976"/>
      <c r="Y77" s="976"/>
      <c r="Z77" s="976"/>
      <c r="AA77" s="976"/>
      <c r="AB77" s="1453"/>
      <c r="AC77" s="1453"/>
      <c r="AD77" s="1453"/>
      <c r="AE77" s="1453"/>
      <c r="AF77" s="1453"/>
      <c r="AG77" s="1453"/>
      <c r="AH77" s="1453"/>
      <c r="AI77" s="1453"/>
      <c r="AJ77" s="1453"/>
    </row>
    <row r="78" spans="1:36" s="1452" customFormat="1" ht="24.75" customHeight="1">
      <c r="A78" s="49" t="s">
        <v>75</v>
      </c>
      <c r="B78" s="65" t="s">
        <v>1788</v>
      </c>
      <c r="C78" s="50">
        <f>IF(F77="购房发票",ROUND(C77*H77*D78,0),0)</f>
        <v>0</v>
      </c>
      <c r="D78" s="2763">
        <v>0.05</v>
      </c>
      <c r="E78" s="3487" t="s">
        <v>1789</v>
      </c>
      <c r="F78" s="3475"/>
      <c r="G78" s="3475"/>
      <c r="H78" s="3488"/>
      <c r="I78" s="2760"/>
      <c r="J78" s="2845"/>
      <c r="K78" s="976"/>
      <c r="L78" s="976"/>
      <c r="M78" s="976"/>
      <c r="N78" s="976"/>
      <c r="O78" s="976"/>
      <c r="P78" s="976"/>
      <c r="Q78" s="976"/>
      <c r="R78" s="976"/>
      <c r="S78" s="976"/>
      <c r="T78" s="976"/>
      <c r="U78" s="976"/>
      <c r="V78" s="976"/>
      <c r="W78" s="976"/>
      <c r="X78" s="976"/>
      <c r="Y78" s="976"/>
      <c r="Z78" s="976"/>
      <c r="AA78" s="976"/>
      <c r="AB78" s="1453"/>
      <c r="AC78" s="1453"/>
      <c r="AD78" s="1453"/>
      <c r="AE78" s="1453"/>
      <c r="AF78" s="1453"/>
      <c r="AG78" s="1453"/>
      <c r="AH78" s="1453"/>
      <c r="AI78" s="1453"/>
      <c r="AJ78" s="1453"/>
    </row>
    <row r="79" spans="1:36" s="1452" customFormat="1" ht="24.75" customHeight="1">
      <c r="A79" s="49" t="s">
        <v>76</v>
      </c>
      <c r="B79" s="50" t="s">
        <v>1790</v>
      </c>
      <c r="C79" s="50">
        <f>ROUND(IF(G79="个人住宅",0,IF(G79="2016年5月1日前购买",C77*D79,C77*D79/(1+'数据-取费表'!F30))),0)</f>
        <v>0</v>
      </c>
      <c r="D79" s="2764">
        <f>'数据-取费表'!E36+'数据-取费表'!E37</f>
        <v>3.0499999999999999E-2</v>
      </c>
      <c r="E79" s="12" t="s">
        <v>1791</v>
      </c>
      <c r="F79" s="2064"/>
      <c r="G79" s="1455" t="s">
        <v>1792</v>
      </c>
      <c r="H79" s="2059"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3"/>
      <c r="AC79" s="1453"/>
      <c r="AD79" s="1453"/>
      <c r="AE79" s="1453"/>
      <c r="AF79" s="1453"/>
      <c r="AG79" s="1453"/>
      <c r="AH79" s="1453"/>
      <c r="AI79" s="1453"/>
      <c r="AJ79" s="1453"/>
    </row>
    <row r="80" spans="1:36" s="1452" customFormat="1" ht="24.75" customHeight="1">
      <c r="A80" s="49" t="s">
        <v>77</v>
      </c>
      <c r="B80" s="50" t="s">
        <v>1793</v>
      </c>
      <c r="C80" s="2765">
        <f ca="1">ROUND(D47*D80/(1+'数据-取费表'!F30),0)</f>
        <v>6</v>
      </c>
      <c r="D80" s="2766">
        <f>'数据-取费表'!E31</f>
        <v>6.000000000000001E-3</v>
      </c>
      <c r="E80" s="3423" t="s">
        <v>1794</v>
      </c>
      <c r="F80" s="3424"/>
      <c r="G80" s="3424"/>
      <c r="H80" s="3444"/>
      <c r="I80" s="609"/>
      <c r="J80" s="2847"/>
      <c r="K80" s="976"/>
      <c r="L80" s="976"/>
      <c r="M80" s="976"/>
      <c r="N80" s="976"/>
      <c r="O80" s="976"/>
      <c r="P80" s="976"/>
      <c r="Q80" s="976"/>
      <c r="R80" s="976"/>
      <c r="S80" s="976"/>
      <c r="T80" s="976"/>
      <c r="U80" s="976"/>
      <c r="V80" s="976"/>
      <c r="W80" s="976"/>
      <c r="X80" s="976"/>
      <c r="Y80" s="976"/>
      <c r="Z80" s="976"/>
      <c r="AA80" s="976"/>
      <c r="AB80" s="1453"/>
      <c r="AC80" s="1453"/>
      <c r="AD80" s="1453"/>
      <c r="AE80" s="1453"/>
      <c r="AF80" s="1453"/>
      <c r="AG80" s="1453"/>
      <c r="AH80" s="1453"/>
      <c r="AI80" s="1453"/>
      <c r="AJ80" s="1453"/>
    </row>
    <row r="81" spans="1:36" s="1452" customFormat="1" ht="14.25">
      <c r="A81" s="53" t="s">
        <v>42</v>
      </c>
      <c r="B81" s="54" t="s">
        <v>1795</v>
      </c>
      <c r="C81" s="2757">
        <f ca="1">C74-C75</f>
        <v>1024</v>
      </c>
      <c r="D81" s="50" t="s">
        <v>41</v>
      </c>
      <c r="E81" s="2057"/>
      <c r="F81" s="2058"/>
      <c r="G81" s="2058"/>
      <c r="H81" s="62"/>
      <c r="I81" s="2760"/>
      <c r="J81" s="2845"/>
      <c r="K81" s="976"/>
      <c r="L81" s="976"/>
      <c r="M81" s="976"/>
      <c r="N81" s="976"/>
      <c r="O81" s="976"/>
      <c r="P81" s="976"/>
      <c r="Q81" s="976"/>
      <c r="R81" s="976"/>
      <c r="S81" s="976"/>
      <c r="T81" s="976"/>
      <c r="U81" s="976"/>
      <c r="V81" s="976"/>
      <c r="W81" s="976"/>
      <c r="X81" s="976"/>
      <c r="Y81" s="976"/>
      <c r="Z81" s="976"/>
      <c r="AA81" s="976"/>
      <c r="AB81" s="1453"/>
      <c r="AC81" s="1453"/>
      <c r="AD81" s="1453"/>
      <c r="AE81" s="1453"/>
      <c r="AF81" s="1453"/>
      <c r="AG81" s="1453"/>
      <c r="AH81" s="1453"/>
      <c r="AI81" s="1453"/>
      <c r="AJ81" s="1453"/>
    </row>
    <row r="82" spans="1:36" s="1452" customFormat="1" ht="14.25">
      <c r="A82" s="53" t="s">
        <v>43</v>
      </c>
      <c r="B82" s="54" t="s">
        <v>1796</v>
      </c>
      <c r="C82" s="2767">
        <f ca="1">IF(C81&lt;=0,0,C81/C75)</f>
        <v>170.66666666666666</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8"/>
      <c r="G82" s="2058"/>
      <c r="H82" s="62"/>
      <c r="I82" s="2760"/>
      <c r="J82" s="2845"/>
      <c r="K82" s="976"/>
      <c r="L82" s="976"/>
      <c r="M82" s="976"/>
      <c r="N82" s="976"/>
      <c r="O82" s="976"/>
      <c r="P82" s="976"/>
      <c r="Q82" s="976"/>
      <c r="R82" s="976"/>
      <c r="S82" s="976"/>
      <c r="T82" s="976"/>
      <c r="U82" s="976"/>
      <c r="V82" s="976"/>
      <c r="W82" s="976"/>
      <c r="X82" s="976"/>
      <c r="Y82" s="976"/>
      <c r="Z82" s="976"/>
      <c r="AA82" s="976"/>
      <c r="AB82" s="1453"/>
      <c r="AC82" s="1453"/>
      <c r="AD82" s="1453"/>
      <c r="AE82" s="1453"/>
      <c r="AF82" s="1453"/>
      <c r="AG82" s="1453"/>
      <c r="AH82" s="1453"/>
      <c r="AI82" s="1453"/>
      <c r="AJ82" s="1453"/>
    </row>
    <row r="83" spans="1:36" s="1452" customFormat="1" ht="15" thickBot="1">
      <c r="A83" s="55" t="s">
        <v>44</v>
      </c>
      <c r="B83" s="56" t="s">
        <v>1797</v>
      </c>
      <c r="C83" s="2768">
        <f ca="1">ROUND(IF(C81&lt;=0,0,IF(C82&gt;=200%,C81*60%-C75*35%,IF(C82&gt;=100%,C81*50%-C75*15%,IF(C82&gt;=50%,C81*40%-C75*5%,IF(C82&lt;50%,C81*30%,0))))),0)</f>
        <v>612</v>
      </c>
      <c r="D83" s="214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3"/>
      <c r="AC83" s="1453"/>
      <c r="AD83" s="1453"/>
      <c r="AE83" s="1453"/>
      <c r="AF83" s="1453"/>
      <c r="AG83" s="1453"/>
      <c r="AH83" s="1453"/>
      <c r="AI83" s="1453"/>
      <c r="AJ83" s="1453"/>
    </row>
    <row r="84" spans="1:36" s="1452"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3"/>
      <c r="AC84" s="1453"/>
      <c r="AD84" s="1453"/>
      <c r="AE84" s="1453"/>
      <c r="AF84" s="1453"/>
      <c r="AG84" s="1453"/>
      <c r="AH84" s="1453"/>
      <c r="AI84" s="1453"/>
      <c r="AJ84" s="1453"/>
    </row>
    <row r="85" spans="1:36" s="1452" customFormat="1" ht="15" thickBot="1">
      <c r="A85" s="3541" t="s">
        <v>1798</v>
      </c>
      <c r="B85" s="3542"/>
      <c r="C85" s="3542"/>
      <c r="D85" s="3542"/>
      <c r="E85" s="3542"/>
      <c r="F85" s="3542"/>
      <c r="G85" s="3542"/>
      <c r="H85" s="3542"/>
      <c r="I85" s="608"/>
      <c r="J85" s="2846"/>
      <c r="K85" s="976"/>
      <c r="L85" s="976"/>
      <c r="M85" s="976"/>
      <c r="N85" s="976"/>
      <c r="O85" s="976"/>
      <c r="P85" s="976"/>
      <c r="Q85" s="976"/>
      <c r="R85" s="976"/>
      <c r="S85" s="976"/>
      <c r="T85" s="976"/>
      <c r="U85" s="976"/>
      <c r="V85" s="976"/>
      <c r="W85" s="976"/>
      <c r="X85" s="976"/>
      <c r="Y85" s="976"/>
      <c r="Z85" s="976"/>
      <c r="AA85" s="976"/>
      <c r="AB85" s="1453"/>
      <c r="AC85" s="1453"/>
      <c r="AD85" s="1453"/>
      <c r="AE85" s="1453"/>
      <c r="AF85" s="1453"/>
      <c r="AG85" s="1453"/>
      <c r="AH85" s="1453"/>
      <c r="AI85" s="1453"/>
      <c r="AJ85" s="1453"/>
    </row>
    <row r="86" spans="1:36" s="1452" customFormat="1" ht="14.25">
      <c r="A86" s="3454" t="s">
        <v>1759</v>
      </c>
      <c r="B86" s="3455"/>
      <c r="C86" s="1576"/>
      <c r="D86" s="1576" t="s">
        <v>1760</v>
      </c>
      <c r="E86" s="58" t="s">
        <v>1761</v>
      </c>
      <c r="F86" s="59"/>
      <c r="G86" s="59"/>
      <c r="H86" s="72"/>
      <c r="I86" s="608"/>
      <c r="J86" s="2846"/>
      <c r="K86" s="976"/>
      <c r="L86" s="976"/>
      <c r="M86" s="976"/>
      <c r="N86" s="976"/>
      <c r="O86" s="976"/>
      <c r="P86" s="976"/>
      <c r="Q86" s="976"/>
      <c r="R86" s="976"/>
      <c r="S86" s="976"/>
      <c r="T86" s="976"/>
      <c r="U86" s="976"/>
      <c r="V86" s="976"/>
      <c r="W86" s="976"/>
      <c r="X86" s="976"/>
      <c r="Y86" s="976"/>
      <c r="Z86" s="976"/>
      <c r="AA86" s="976"/>
      <c r="AB86" s="1453"/>
      <c r="AC86" s="1453"/>
      <c r="AD86" s="1453"/>
      <c r="AE86" s="1453"/>
      <c r="AF86" s="1453"/>
      <c r="AG86" s="1453"/>
      <c r="AH86" s="1453"/>
      <c r="AI86" s="1453"/>
      <c r="AJ86" s="1453"/>
    </row>
    <row r="87" spans="1:36" s="1452" customFormat="1" ht="14.25">
      <c r="A87" s="61">
        <v>1</v>
      </c>
      <c r="B87" s="54" t="s">
        <v>1780</v>
      </c>
      <c r="C87" s="2757">
        <f ca="1">ROUND(D47/(1+'数据-取费表'!F30),0)</f>
        <v>1030</v>
      </c>
      <c r="D87" s="50" t="s">
        <v>41</v>
      </c>
      <c r="E87" s="2057"/>
      <c r="F87" s="2058"/>
      <c r="G87" s="2058"/>
      <c r="H87" s="73"/>
      <c r="I87" s="608"/>
      <c r="J87" s="2846"/>
      <c r="K87" s="976"/>
      <c r="L87" s="976"/>
      <c r="M87" s="976"/>
      <c r="N87" s="976"/>
      <c r="O87" s="976"/>
      <c r="P87" s="976"/>
      <c r="Q87" s="976"/>
      <c r="R87" s="976"/>
      <c r="S87" s="976"/>
      <c r="T87" s="976"/>
      <c r="U87" s="976"/>
      <c r="V87" s="976"/>
      <c r="W87" s="976"/>
      <c r="X87" s="976"/>
      <c r="Y87" s="976"/>
      <c r="Z87" s="976"/>
      <c r="AA87" s="976"/>
      <c r="AB87" s="1453"/>
      <c r="AC87" s="1453"/>
      <c r="AD87" s="1453"/>
      <c r="AE87" s="1453"/>
      <c r="AF87" s="1453"/>
      <c r="AG87" s="1453"/>
      <c r="AH87" s="1453"/>
      <c r="AI87" s="1453"/>
      <c r="AJ87" s="1453"/>
    </row>
    <row r="88" spans="1:36" s="1452" customFormat="1" ht="14.25">
      <c r="A88" s="63">
        <v>2</v>
      </c>
      <c r="B88" s="41" t="s">
        <v>1782</v>
      </c>
      <c r="C88" s="2757">
        <f ca="1">IF(H90="仅含出让金",C89+C92+C93+C94+C95+C96,C89+C93+C94+C95+C96)</f>
        <v>6</v>
      </c>
      <c r="D88" s="2769"/>
      <c r="E88" s="2057"/>
      <c r="F88" s="2058"/>
      <c r="G88" s="2058"/>
      <c r="H88" s="73"/>
      <c r="I88" s="608"/>
      <c r="J88" s="2846"/>
      <c r="K88" s="976"/>
      <c r="L88" s="976"/>
      <c r="M88" s="976"/>
      <c r="N88" s="976"/>
      <c r="O88" s="976"/>
      <c r="P88" s="976"/>
      <c r="Q88" s="976"/>
      <c r="R88" s="976"/>
      <c r="S88" s="976"/>
      <c r="T88" s="976"/>
      <c r="U88" s="976"/>
      <c r="V88" s="976"/>
      <c r="W88" s="976"/>
      <c r="X88" s="976"/>
      <c r="Y88" s="976"/>
      <c r="Z88" s="976"/>
      <c r="AA88" s="976"/>
      <c r="AB88" s="1453"/>
      <c r="AC88" s="1453"/>
      <c r="AD88" s="1453"/>
      <c r="AE88" s="1453"/>
      <c r="AF88" s="1453"/>
      <c r="AG88" s="1453"/>
      <c r="AH88" s="1453"/>
      <c r="AI88" s="1453"/>
      <c r="AJ88" s="1453"/>
    </row>
    <row r="89" spans="1:36" s="1452" customFormat="1" ht="14.25">
      <c r="A89" s="49" t="s">
        <v>73</v>
      </c>
      <c r="B89" s="50" t="s">
        <v>1799</v>
      </c>
      <c r="C89" s="2765">
        <f>C90+C91</f>
        <v>0</v>
      </c>
      <c r="D89" s="2766"/>
      <c r="E89" s="2054"/>
      <c r="F89" s="2055"/>
      <c r="G89" s="2055"/>
      <c r="H89" s="2056"/>
      <c r="I89" s="608"/>
      <c r="J89" s="2846"/>
      <c r="K89" s="976"/>
      <c r="L89" s="976"/>
      <c r="M89" s="976"/>
      <c r="N89" s="976"/>
      <c r="O89" s="976"/>
      <c r="P89" s="976"/>
      <c r="Q89" s="976"/>
      <c r="R89" s="976"/>
      <c r="S89" s="976"/>
      <c r="T89" s="976"/>
      <c r="U89" s="976"/>
      <c r="V89" s="976"/>
      <c r="W89" s="976"/>
      <c r="X89" s="976"/>
      <c r="Y89" s="976"/>
      <c r="Z89" s="976"/>
      <c r="AA89" s="976"/>
      <c r="AB89" s="1453"/>
      <c r="AC89" s="1453"/>
      <c r="AD89" s="1453"/>
      <c r="AE89" s="1453"/>
      <c r="AF89" s="1453"/>
      <c r="AG89" s="1453"/>
      <c r="AH89" s="1453"/>
      <c r="AI89" s="1453"/>
      <c r="AJ89" s="1453"/>
    </row>
    <row r="90" spans="1:36" s="1452" customFormat="1" ht="14.25">
      <c r="A90" s="49" t="s">
        <v>74</v>
      </c>
      <c r="B90" s="50" t="s">
        <v>1800</v>
      </c>
      <c r="C90" s="2770"/>
      <c r="D90" s="2766"/>
      <c r="E90" s="74" t="s">
        <v>1801</v>
      </c>
      <c r="F90" s="2055"/>
      <c r="G90" s="75" t="s">
        <v>1802</v>
      </c>
      <c r="H90" s="1457"/>
      <c r="I90" s="608"/>
      <c r="J90" s="2846"/>
      <c r="K90" s="2941" t="s">
        <v>2762</v>
      </c>
      <c r="L90" s="1453"/>
      <c r="M90" s="1453"/>
      <c r="N90" s="1453"/>
      <c r="O90" s="1453"/>
      <c r="P90" s="1453"/>
      <c r="Q90" s="1453"/>
      <c r="R90" s="1453"/>
      <c r="S90" s="1453"/>
      <c r="T90" s="976"/>
      <c r="U90" s="976"/>
      <c r="V90" s="976"/>
      <c r="W90" s="976"/>
      <c r="X90" s="976"/>
      <c r="Y90" s="976"/>
      <c r="Z90" s="976"/>
      <c r="AA90" s="976"/>
      <c r="AB90" s="1453"/>
      <c r="AC90" s="1453"/>
      <c r="AD90" s="1453"/>
      <c r="AE90" s="1453"/>
      <c r="AF90" s="1453"/>
      <c r="AG90" s="1453"/>
      <c r="AH90" s="1453"/>
      <c r="AI90" s="1453"/>
      <c r="AJ90" s="1453"/>
    </row>
    <row r="91" spans="1:36" s="1452" customFormat="1" ht="14.25">
      <c r="A91" s="49" t="s">
        <v>75</v>
      </c>
      <c r="B91" s="50" t="s">
        <v>1790</v>
      </c>
      <c r="C91" s="2765">
        <f>ROUND(C90*D91,0)</f>
        <v>0</v>
      </c>
      <c r="D91" s="2766">
        <f>'数据-取费表'!E36+'数据-取费表'!E37</f>
        <v>3.0499999999999999E-2</v>
      </c>
      <c r="E91" s="74" t="s">
        <v>1803</v>
      </c>
      <c r="F91" s="2055"/>
      <c r="G91" s="2055"/>
      <c r="H91" s="2056"/>
      <c r="I91" s="608"/>
      <c r="J91" s="2846"/>
      <c r="K91" s="976"/>
      <c r="L91" s="976"/>
      <c r="M91" s="976"/>
      <c r="N91" s="976"/>
      <c r="O91" s="976"/>
      <c r="P91" s="976"/>
      <c r="Q91" s="976"/>
      <c r="R91" s="976"/>
      <c r="S91" s="976"/>
      <c r="T91" s="976"/>
      <c r="U91" s="976"/>
      <c r="V91" s="976"/>
      <c r="W91" s="976"/>
      <c r="X91" s="976"/>
      <c r="Y91" s="976"/>
      <c r="Z91" s="976"/>
      <c r="AA91" s="976"/>
      <c r="AB91" s="1453"/>
      <c r="AC91" s="1453"/>
      <c r="AD91" s="1453"/>
      <c r="AE91" s="1453"/>
      <c r="AF91" s="1453"/>
      <c r="AG91" s="1453"/>
      <c r="AH91" s="1453"/>
      <c r="AI91" s="1453"/>
      <c r="AJ91" s="1453"/>
    </row>
    <row r="92" spans="1:36" s="1452" customFormat="1" ht="14.25">
      <c r="A92" s="49" t="s">
        <v>77</v>
      </c>
      <c r="B92" s="50" t="s">
        <v>1804</v>
      </c>
      <c r="C92" s="2770"/>
      <c r="D92" s="2766"/>
      <c r="E92" s="74" t="str">
        <f>IF(H90="-","土地取得成本中已包含该笔费用"," ")</f>
        <v xml:space="preserve"> </v>
      </c>
      <c r="F92" s="2055"/>
      <c r="G92" s="3463" t="s">
        <v>2679</v>
      </c>
      <c r="H92" s="3543"/>
      <c r="I92" s="608"/>
      <c r="J92" s="2846"/>
      <c r="K92" s="2941" t="s">
        <v>2763</v>
      </c>
      <c r="L92" s="1453"/>
      <c r="M92" s="1453"/>
      <c r="N92" s="1453"/>
      <c r="O92" s="1453"/>
      <c r="P92" s="1453"/>
      <c r="Q92" s="1453"/>
      <c r="R92" s="1453"/>
      <c r="S92" s="1453"/>
      <c r="T92" s="976"/>
      <c r="U92" s="976"/>
      <c r="V92" s="976"/>
      <c r="W92" s="976"/>
      <c r="X92" s="976"/>
      <c r="Y92" s="976"/>
      <c r="Z92" s="976"/>
      <c r="AA92" s="976"/>
      <c r="AB92" s="1453"/>
      <c r="AC92" s="1453"/>
      <c r="AD92" s="1453"/>
      <c r="AE92" s="1453"/>
      <c r="AF92" s="1453"/>
      <c r="AG92" s="1453"/>
      <c r="AH92" s="1453"/>
      <c r="AI92" s="1453"/>
      <c r="AJ92" s="1453"/>
    </row>
    <row r="93" spans="1:36" s="1452" customFormat="1" ht="30.75" customHeight="1">
      <c r="A93" s="49" t="s">
        <v>78</v>
      </c>
      <c r="B93" s="50" t="s">
        <v>1805</v>
      </c>
      <c r="C93" s="2765">
        <f>IF(H93="——",成本法!C33,I93)</f>
        <v>0</v>
      </c>
      <c r="D93" s="2766"/>
      <c r="E93" s="3423" t="s">
        <v>1806</v>
      </c>
      <c r="F93" s="3424"/>
      <c r="G93" s="3424"/>
      <c r="H93" s="1458" t="s">
        <v>1807</v>
      </c>
      <c r="I93" s="2771"/>
      <c r="J93" s="2848"/>
      <c r="K93" s="976"/>
      <c r="L93" s="976"/>
      <c r="M93" s="976"/>
      <c r="N93" s="976"/>
      <c r="O93" s="976"/>
      <c r="P93" s="976"/>
      <c r="Q93" s="976"/>
      <c r="R93" s="976"/>
      <c r="S93" s="976"/>
      <c r="T93" s="976"/>
      <c r="U93" s="976"/>
      <c r="V93" s="976"/>
      <c r="W93" s="976"/>
      <c r="X93" s="976"/>
      <c r="Y93" s="976"/>
      <c r="Z93" s="976"/>
      <c r="AA93" s="976"/>
      <c r="AB93" s="1453"/>
      <c r="AC93" s="1453"/>
      <c r="AD93" s="1453"/>
      <c r="AE93" s="1453"/>
      <c r="AF93" s="1453"/>
      <c r="AG93" s="1453"/>
      <c r="AH93" s="1453"/>
      <c r="AI93" s="1453"/>
      <c r="AJ93" s="1453"/>
    </row>
    <row r="94" spans="1:36" s="1452" customFormat="1" ht="25.5" customHeight="1">
      <c r="A94" s="49" t="s">
        <v>79</v>
      </c>
      <c r="B94" s="50" t="s">
        <v>1808</v>
      </c>
      <c r="C94" s="2765">
        <f>ROUND((C89+C92+C93)*D94,0)</f>
        <v>0</v>
      </c>
      <c r="D94" s="2766">
        <v>0.1</v>
      </c>
      <c r="E94" s="3423" t="s">
        <v>1809</v>
      </c>
      <c r="F94" s="3424"/>
      <c r="G94" s="3424"/>
      <c r="H94" s="3444"/>
      <c r="I94" s="608"/>
      <c r="J94" s="2846"/>
      <c r="K94" s="2942" t="s">
        <v>2764</v>
      </c>
      <c r="L94" s="1453"/>
      <c r="M94" s="1453"/>
      <c r="N94" s="1453"/>
      <c r="O94" s="1453"/>
      <c r="P94" s="1453"/>
      <c r="Q94" s="976"/>
      <c r="R94" s="976"/>
      <c r="S94" s="976"/>
      <c r="T94" s="976"/>
      <c r="U94" s="976"/>
      <c r="V94" s="976"/>
      <c r="W94" s="976"/>
      <c r="X94" s="976"/>
      <c r="Y94" s="976"/>
      <c r="Z94" s="976"/>
      <c r="AA94" s="976"/>
      <c r="AB94" s="1453"/>
      <c r="AC94" s="1453"/>
      <c r="AD94" s="1453"/>
      <c r="AE94" s="1453"/>
      <c r="AF94" s="1453"/>
      <c r="AG94" s="1453"/>
      <c r="AH94" s="1453"/>
      <c r="AI94" s="1453"/>
      <c r="AJ94" s="1453"/>
    </row>
    <row r="95" spans="1:36" s="1452" customFormat="1" ht="25.5" customHeight="1">
      <c r="A95" s="49" t="s">
        <v>80</v>
      </c>
      <c r="B95" s="50" t="s">
        <v>1793</v>
      </c>
      <c r="C95" s="2765">
        <f ca="1">ROUND(D47*D95/(1+'数据-取费表'!F30),0)</f>
        <v>6</v>
      </c>
      <c r="D95" s="2766">
        <f>'数据-取费表'!E31</f>
        <v>6.000000000000001E-3</v>
      </c>
      <c r="E95" s="3423" t="s">
        <v>1794</v>
      </c>
      <c r="F95" s="3424"/>
      <c r="G95" s="3424"/>
      <c r="H95" s="3444"/>
      <c r="I95" s="608"/>
      <c r="J95" s="2846"/>
      <c r="K95" s="976"/>
      <c r="L95" s="976"/>
      <c r="M95" s="976"/>
      <c r="N95" s="976"/>
      <c r="O95" s="976"/>
      <c r="P95" s="976"/>
      <c r="Q95" s="976"/>
      <c r="R95" s="976"/>
      <c r="S95" s="976"/>
      <c r="T95" s="976"/>
      <c r="U95" s="976"/>
      <c r="V95" s="976"/>
      <c r="W95" s="976"/>
      <c r="X95" s="976"/>
      <c r="Y95" s="976"/>
      <c r="Z95" s="976"/>
      <c r="AA95" s="976"/>
      <c r="AB95" s="1453"/>
      <c r="AC95" s="1453"/>
      <c r="AD95" s="1453"/>
      <c r="AE95" s="1453"/>
      <c r="AF95" s="1453"/>
      <c r="AG95" s="1453"/>
      <c r="AH95" s="1453"/>
      <c r="AI95" s="1453"/>
      <c r="AJ95" s="1453"/>
    </row>
    <row r="96" spans="1:36" s="1452" customFormat="1" ht="25.5" customHeight="1">
      <c r="A96" s="49" t="s">
        <v>81</v>
      </c>
      <c r="B96" s="50" t="s">
        <v>1810</v>
      </c>
      <c r="C96" s="2765">
        <f>ROUND((C89+C92+C93)*D96,0)</f>
        <v>0</v>
      </c>
      <c r="D96" s="2766">
        <v>0.2</v>
      </c>
      <c r="E96" s="3423" t="s">
        <v>1811</v>
      </c>
      <c r="F96" s="3424"/>
      <c r="G96" s="3424"/>
      <c r="H96" s="3444"/>
      <c r="I96" s="608"/>
      <c r="J96" s="2846"/>
      <c r="K96" s="976"/>
      <c r="L96" s="976"/>
      <c r="M96" s="976"/>
      <c r="N96" s="976"/>
      <c r="O96" s="976"/>
      <c r="P96" s="976"/>
      <c r="Q96" s="976"/>
      <c r="R96" s="976"/>
      <c r="S96" s="976"/>
      <c r="T96" s="976"/>
      <c r="U96" s="976"/>
      <c r="V96" s="976"/>
      <c r="W96" s="976"/>
      <c r="X96" s="976"/>
      <c r="Y96" s="976"/>
      <c r="Z96" s="976"/>
      <c r="AA96" s="976"/>
      <c r="AB96" s="1453"/>
      <c r="AC96" s="1453"/>
      <c r="AD96" s="1453"/>
      <c r="AE96" s="1453"/>
      <c r="AF96" s="1453"/>
      <c r="AG96" s="1453"/>
      <c r="AH96" s="1453"/>
      <c r="AI96" s="1453"/>
      <c r="AJ96" s="1453"/>
    </row>
    <row r="97" spans="1:36" s="1452" customFormat="1" ht="14.25">
      <c r="A97" s="53" t="s">
        <v>42</v>
      </c>
      <c r="B97" s="54" t="s">
        <v>1795</v>
      </c>
      <c r="C97" s="2757">
        <f ca="1">ROUND(C87-C88,0)</f>
        <v>1024</v>
      </c>
      <c r="D97" s="50" t="s">
        <v>41</v>
      </c>
      <c r="E97" s="2057"/>
      <c r="F97" s="2058"/>
      <c r="G97" s="2058"/>
      <c r="H97" s="73"/>
      <c r="I97" s="608"/>
      <c r="J97" s="2846"/>
      <c r="K97" s="976"/>
      <c r="L97" s="976"/>
      <c r="M97" s="976"/>
      <c r="N97" s="976"/>
      <c r="O97" s="976"/>
      <c r="P97" s="976"/>
      <c r="Q97" s="976"/>
      <c r="R97" s="976"/>
      <c r="S97" s="976"/>
      <c r="T97" s="976"/>
      <c r="U97" s="976"/>
      <c r="V97" s="976"/>
      <c r="W97" s="976"/>
      <c r="X97" s="976"/>
      <c r="Y97" s="976"/>
      <c r="Z97" s="976"/>
      <c r="AA97" s="976"/>
      <c r="AB97" s="1453"/>
      <c r="AC97" s="1453"/>
      <c r="AD97" s="1453"/>
      <c r="AE97" s="1453"/>
      <c r="AF97" s="1453"/>
      <c r="AG97" s="1453"/>
      <c r="AH97" s="1453"/>
      <c r="AI97" s="1453"/>
      <c r="AJ97" s="1453"/>
    </row>
    <row r="98" spans="1:36" s="1452" customFormat="1" ht="14.25">
      <c r="A98" s="53" t="s">
        <v>43</v>
      </c>
      <c r="B98" s="54" t="s">
        <v>1796</v>
      </c>
      <c r="C98" s="2767">
        <f ca="1">IF(C97&lt;=0,0,C97/C88)</f>
        <v>170.66666666666666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8"/>
      <c r="G98" s="2058"/>
      <c r="H98" s="73"/>
      <c r="I98" s="608"/>
      <c r="J98" s="2846"/>
      <c r="K98" s="976"/>
      <c r="L98" s="976"/>
      <c r="M98" s="976"/>
      <c r="N98" s="976"/>
      <c r="O98" s="976"/>
      <c r="P98" s="976"/>
      <c r="Q98" s="976"/>
      <c r="R98" s="976"/>
      <c r="S98" s="976"/>
      <c r="T98" s="976"/>
      <c r="U98" s="976"/>
      <c r="V98" s="976"/>
      <c r="W98" s="976"/>
      <c r="X98" s="976"/>
      <c r="Y98" s="976"/>
      <c r="Z98" s="976"/>
      <c r="AA98" s="976"/>
      <c r="AB98" s="1453"/>
      <c r="AC98" s="1453"/>
      <c r="AD98" s="1453"/>
      <c r="AE98" s="1453"/>
      <c r="AF98" s="1453"/>
      <c r="AG98" s="1453"/>
      <c r="AH98" s="1453"/>
      <c r="AI98" s="1453"/>
      <c r="AJ98" s="1453"/>
    </row>
    <row r="99" spans="1:36" s="1452" customFormat="1" ht="15" thickBot="1">
      <c r="A99" s="66" t="s">
        <v>44</v>
      </c>
      <c r="B99" s="56" t="s">
        <v>1797</v>
      </c>
      <c r="C99" s="67">
        <f ca="1">ROUND(IF(C97&lt;=0,0,IF(C98&gt;=200%,C97*60%-C88*35%,IF(C98&gt;=100%,C97*50%-C88*15%,IF(C98&gt;=50%,C97*40%-C88*5%,IF(C98&lt;50%,C97*30%,0))))),0)</f>
        <v>612</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6"/>
      <c r="L99" s="976"/>
      <c r="M99" s="976"/>
      <c r="N99" s="976"/>
      <c r="O99" s="976"/>
      <c r="P99" s="976"/>
      <c r="Q99" s="976"/>
      <c r="R99" s="976"/>
      <c r="S99" s="976"/>
      <c r="T99" s="976"/>
      <c r="U99" s="976"/>
      <c r="V99" s="976"/>
      <c r="W99" s="976"/>
      <c r="X99" s="976"/>
      <c r="Y99" s="976"/>
      <c r="Z99" s="976"/>
      <c r="AA99" s="976"/>
      <c r="AB99" s="1453"/>
      <c r="AC99" s="1453"/>
      <c r="AD99" s="1453"/>
      <c r="AE99" s="1453"/>
      <c r="AF99" s="1453"/>
      <c r="AG99" s="1453"/>
      <c r="AH99" s="1453"/>
      <c r="AI99" s="1453"/>
      <c r="AJ99" s="1453"/>
    </row>
    <row r="100" spans="1:36" ht="21.75" customHeight="1" thickBot="1">
      <c r="A100" s="1440" t="s">
        <v>1812</v>
      </c>
      <c r="B100" s="1430"/>
      <c r="C100" s="1430"/>
      <c r="D100" s="1430"/>
      <c r="E100" s="812"/>
      <c r="F100" s="812"/>
      <c r="G100" s="812"/>
      <c r="H100" s="1439"/>
      <c r="I100" s="1430"/>
    </row>
    <row r="101" spans="1:36" ht="15">
      <c r="A101" s="3441" t="s">
        <v>1813</v>
      </c>
      <c r="B101" s="3442"/>
      <c r="C101" s="3442"/>
      <c r="D101" s="3443"/>
      <c r="E101" s="1430"/>
      <c r="F101" s="3538" t="s">
        <v>2721</v>
      </c>
      <c r="G101" s="3539"/>
      <c r="H101" s="3539"/>
      <c r="I101" s="3540"/>
      <c r="J101" s="2849"/>
    </row>
    <row r="102" spans="1:36" ht="15">
      <c r="A102" s="3458" t="s">
        <v>1815</v>
      </c>
      <c r="B102" s="3459"/>
      <c r="C102" s="2772" t="str">
        <f>C4</f>
        <v>比较法-办公</v>
      </c>
      <c r="D102" s="2773" t="str">
        <f>D4</f>
        <v>收益法</v>
      </c>
      <c r="E102" s="1430"/>
      <c r="F102" s="3460" t="s">
        <v>2722</v>
      </c>
      <c r="G102" s="3462"/>
      <c r="H102" s="3473" t="s">
        <v>2723</v>
      </c>
      <c r="I102" s="3461"/>
      <c r="J102" s="2829"/>
    </row>
    <row r="103" spans="1:36" ht="12.75">
      <c r="A103" s="3544" t="s">
        <v>2717</v>
      </c>
      <c r="B103" s="2276" t="str">
        <f>IF(H19="元","总价（元）","总价（万元）")</f>
        <v>总价（万元）</v>
      </c>
      <c r="C103" s="1276">
        <f ca="1">C19</f>
        <v>393</v>
      </c>
      <c r="D103" s="2776">
        <f ca="1">D19</f>
        <v>234</v>
      </c>
      <c r="E103" s="1430"/>
      <c r="F103" s="3545"/>
      <c r="G103" s="3546"/>
      <c r="H103" s="3464">
        <f>典型户型修正!B25</f>
        <v>393.43</v>
      </c>
      <c r="I103" s="3461"/>
      <c r="J103" s="2829"/>
    </row>
    <row r="104" spans="1:36" ht="12.75">
      <c r="A104" s="3544"/>
      <c r="B104" s="2276" t="s">
        <v>2718</v>
      </c>
      <c r="C104" s="2777">
        <f ca="1">C20</f>
        <v>31287</v>
      </c>
      <c r="D104" s="2778">
        <f ca="1">D20</f>
        <v>18650</v>
      </c>
      <c r="E104" s="1430"/>
      <c r="F104" s="3447" t="s">
        <v>2724</v>
      </c>
      <c r="G104" s="3448"/>
      <c r="H104" s="2786" t="str">
        <f>C110</f>
        <v>总价（万元）</v>
      </c>
      <c r="I104" s="2787">
        <f ca="1">H125</f>
        <v>1082</v>
      </c>
      <c r="J104" s="2829"/>
    </row>
    <row r="105" spans="1:36" ht="12.75">
      <c r="A105" s="3544" t="s">
        <v>2719</v>
      </c>
      <c r="B105" s="2214" t="str">
        <f>B103</f>
        <v>总价（万元）</v>
      </c>
      <c r="C105" s="12">
        <f ca="1">ROUND(IF('数据-取费表'!B4="总价",G19,IF(H19="元",G20*'数据-取费表'!E5,G20*'数据-取费表'!E5/10000)),0)</f>
        <v>345</v>
      </c>
      <c r="D105" s="2779"/>
      <c r="E105" s="1430"/>
      <c r="F105" s="3447"/>
      <c r="G105" s="3448"/>
      <c r="H105" s="2786" t="s">
        <v>2725</v>
      </c>
      <c r="I105" s="52">
        <f ca="1">I125</f>
        <v>27502</v>
      </c>
      <c r="J105" s="2813"/>
    </row>
    <row r="106" spans="1:36" ht="12.75">
      <c r="A106" s="3544"/>
      <c r="B106" s="2276" t="s">
        <v>2718</v>
      </c>
      <c r="C106" s="1450">
        <f ca="1">ROUND(IF('数据-取费表'!B4="楼面单价",G20,IF(H19="元",G19/'数据-取费表'!E5,G19*10000/'数据-取费表'!E5)),0)</f>
        <v>27488</v>
      </c>
      <c r="D106" s="2779"/>
      <c r="E106" s="1430"/>
      <c r="F106" s="3447"/>
      <c r="G106" s="3448"/>
      <c r="H106" s="3479"/>
      <c r="I106" s="3480"/>
      <c r="J106" s="2830"/>
    </row>
    <row r="107" spans="1:36" ht="12.75">
      <c r="A107" s="3551" t="s">
        <v>2720</v>
      </c>
      <c r="B107" s="2780" t="str">
        <f>B103</f>
        <v>总价（万元）</v>
      </c>
      <c r="C107" s="2781">
        <f ca="1">H125</f>
        <v>1082</v>
      </c>
      <c r="D107" s="2782"/>
      <c r="E107" s="1430"/>
      <c r="F107" s="3483" t="s">
        <v>2726</v>
      </c>
      <c r="G107" s="3484"/>
      <c r="H107" s="2788" t="str">
        <f>C112</f>
        <v>总额（万元）</v>
      </c>
      <c r="I107" s="2787">
        <f>SUMIF(I108:I110,"&lt;9E307")</f>
        <v>0</v>
      </c>
      <c r="J107" s="2829"/>
    </row>
    <row r="108" spans="1:36" ht="15" thickBot="1">
      <c r="A108" s="3478"/>
      <c r="B108" s="2783" t="s">
        <v>2718</v>
      </c>
      <c r="C108" s="2784">
        <f ca="1">I125</f>
        <v>27502</v>
      </c>
      <c r="D108" s="2785"/>
      <c r="E108" s="1430"/>
      <c r="F108" s="3449" t="s">
        <v>2727</v>
      </c>
      <c r="G108" s="3450"/>
      <c r="H108" s="2788" t="str">
        <f>C113</f>
        <v>总额（万元）</v>
      </c>
      <c r="I108" s="2789">
        <f>IF(D38="同一抵押权人同一抵押物续贷",C38&amp;"（续贷，未扣减，详见特别提示）",C38)</f>
        <v>0</v>
      </c>
      <c r="J108" s="2813"/>
      <c r="L108" s="1433" t="str">
        <f>IF(D125=0,"本次评估不存在"&amp;A125&amp;"。","本次评估"&amp;A125&amp;"为"&amp;D125&amp;"元人民币。")</f>
        <v>本次评估不存在北京市房地产。</v>
      </c>
      <c r="M108" s="1430"/>
      <c r="N108" s="1430"/>
      <c r="O108" s="1430"/>
      <c r="P108" s="1430"/>
      <c r="Q108" s="1430"/>
    </row>
    <row r="109" spans="1:36" ht="15">
      <c r="A109" s="3547" t="s">
        <v>1816</v>
      </c>
      <c r="B109" s="3548"/>
      <c r="C109" s="3548"/>
      <c r="D109" s="3549"/>
      <c r="E109" s="1430"/>
      <c r="F109" s="3449" t="s">
        <v>2728</v>
      </c>
      <c r="G109" s="3450"/>
      <c r="H109" s="2788" t="str">
        <f>C114</f>
        <v>总额（万元）</v>
      </c>
      <c r="I109" s="52">
        <f>C39</f>
        <v>0</v>
      </c>
      <c r="J109" s="2813"/>
    </row>
    <row r="110" spans="1:36" ht="12.75">
      <c r="A110" s="3447" t="s">
        <v>2731</v>
      </c>
      <c r="B110" s="3448"/>
      <c r="C110" s="2786" t="str">
        <f>B103</f>
        <v>总价（万元）</v>
      </c>
      <c r="D110" s="2787">
        <f ca="1">H125</f>
        <v>1082</v>
      </c>
      <c r="E110" s="1430"/>
      <c r="F110" s="3449" t="s">
        <v>2729</v>
      </c>
      <c r="G110" s="3450"/>
      <c r="H110" s="2788" t="str">
        <f>C115</f>
        <v>总额（万元）</v>
      </c>
      <c r="I110" s="52">
        <f>C40</f>
        <v>0</v>
      </c>
      <c r="J110" s="2813"/>
    </row>
    <row r="111" spans="1:36" ht="12.75">
      <c r="A111" s="3447"/>
      <c r="B111" s="3448"/>
      <c r="C111" s="2786" t="s">
        <v>2732</v>
      </c>
      <c r="D111" s="52">
        <f ca="1">I125</f>
        <v>27502</v>
      </c>
      <c r="E111" s="1430"/>
      <c r="F111" s="3447"/>
      <c r="G111" s="3448"/>
      <c r="H111" s="3481"/>
      <c r="I111" s="3482"/>
      <c r="J111" s="2831"/>
    </row>
    <row r="112" spans="1:36" ht="28.5" customHeight="1">
      <c r="A112" s="3518" t="s">
        <v>2726</v>
      </c>
      <c r="B112" s="3519"/>
      <c r="C112" s="2788" t="str">
        <f>IF(H19="元","总额（元）","总额（万元）")</f>
        <v>总额（万元）</v>
      </c>
      <c r="D112" s="2787">
        <f>IF(D38="正常操作",I108+I109+I110,I109+I110)</f>
        <v>0</v>
      </c>
      <c r="E112" s="1430"/>
      <c r="F112" s="3430" t="str">
        <f>IF(项目基本情况!F5="已注销","——","3.房地产抵押价值")</f>
        <v>3.房地产抵押价值</v>
      </c>
      <c r="G112" s="3431"/>
      <c r="H112" s="1450" t="str">
        <f>C116</f>
        <v>总价（万元）</v>
      </c>
      <c r="I112" s="2787">
        <f ca="1">IF(F112="——","——",I104-I107)</f>
        <v>1082</v>
      </c>
      <c r="J112" s="2829"/>
    </row>
    <row r="113" spans="1:27" ht="12.75">
      <c r="A113" s="3449" t="s">
        <v>2733</v>
      </c>
      <c r="B113" s="3450"/>
      <c r="C113" s="2788" t="str">
        <f>C112</f>
        <v>总额（万元）</v>
      </c>
      <c r="D113" s="52">
        <f>IF(D38="同一抵押权人同一抵押物续贷",C38&amp;"（未扣减，详见特别提示）",C38)</f>
        <v>0</v>
      </c>
      <c r="E113" s="1430"/>
      <c r="F113" s="3432"/>
      <c r="G113" s="3433"/>
      <c r="H113" s="2786" t="s">
        <v>2725</v>
      </c>
      <c r="I113" s="2790">
        <f ca="1">D117</f>
        <v>27502</v>
      </c>
      <c r="J113" s="2832"/>
    </row>
    <row r="114" spans="1:27" ht="12.75">
      <c r="A114" s="3449" t="s">
        <v>2734</v>
      </c>
      <c r="B114" s="3450"/>
      <c r="C114" s="2788" t="str">
        <f>C112</f>
        <v>总额（万元）</v>
      </c>
      <c r="D114" s="52">
        <f>C39</f>
        <v>0</v>
      </c>
      <c r="E114" s="1430"/>
      <c r="F114" s="3430" t="str">
        <f>IF(项目基本情况!F5="已注销及未注销","4.抵押担保权已注销时的房地产抵押价值",IF(项目基本情况!F5="已注销","3.抵押担保权已注销时的房地产抵押价值","——"))</f>
        <v>——</v>
      </c>
      <c r="G114" s="3431"/>
      <c r="H114" s="1450" t="str">
        <f>C118</f>
        <v>总价（万元）</v>
      </c>
      <c r="I114" s="2787" t="str">
        <f>IF(F114="——","——",I104-I109-I110)</f>
        <v>——</v>
      </c>
      <c r="J114" s="2829"/>
    </row>
    <row r="115" spans="1:27" ht="12.75">
      <c r="A115" s="3449" t="s">
        <v>2735</v>
      </c>
      <c r="B115" s="3450"/>
      <c r="C115" s="2788" t="str">
        <f>C112</f>
        <v>总额（万元）</v>
      </c>
      <c r="D115" s="52">
        <f>C40</f>
        <v>0</v>
      </c>
      <c r="E115" s="1430"/>
      <c r="F115" s="3432"/>
      <c r="G115" s="3433"/>
      <c r="H115" s="2786" t="s">
        <v>2725</v>
      </c>
      <c r="I115" s="52" t="str">
        <f>D119</f>
        <v>——</v>
      </c>
      <c r="J115" s="2813"/>
    </row>
    <row r="116" spans="1:27" ht="12.75">
      <c r="A116" s="3447" t="str">
        <f>IF(项目基本情况!F5="已注销","——","3.房地产抵押价值")</f>
        <v>3.房地产抵押价值</v>
      </c>
      <c r="B116" s="3448"/>
      <c r="C116" s="2786" t="str">
        <f>B103</f>
        <v>总价（万元）</v>
      </c>
      <c r="D116" s="2787">
        <f ca="1">IF(A116="——","——",D110-D112)</f>
        <v>1082</v>
      </c>
      <c r="E116" s="1430"/>
      <c r="F116" s="3430" t="str">
        <f>IF(项目基本情况!G5="抵押净值",IF(OR(项目基本情况!F5="已注销",项目基本情况!F5="房地产抵押价值"),"4.抵押净值","5.抵押净值"),"——")</f>
        <v>——</v>
      </c>
      <c r="G116" s="3431"/>
      <c r="H116" s="2786" t="str">
        <f>C120</f>
        <v>总价（万元）</v>
      </c>
      <c r="I116" s="2787" t="str">
        <f>IF(F116="——","——",O61)</f>
        <v>——</v>
      </c>
      <c r="J116" s="2829"/>
    </row>
    <row r="117" spans="1:27" ht="13.5" thickBot="1">
      <c r="A117" s="3447"/>
      <c r="B117" s="3448"/>
      <c r="C117" s="2786" t="s">
        <v>2732</v>
      </c>
      <c r="D117" s="52">
        <f ca="1">ROUND(IF(D116=D110,D111,IF(H19="元",D116/B125,D116*10000/B125)),0)</f>
        <v>27502</v>
      </c>
      <c r="E117" s="1430"/>
      <c r="F117" s="3510"/>
      <c r="G117" s="3511"/>
      <c r="H117" s="2791" t="s">
        <v>2725</v>
      </c>
      <c r="I117" s="2775" t="str">
        <f ca="1">D121</f>
        <v>——</v>
      </c>
      <c r="J117" s="2813"/>
    </row>
    <row r="118" spans="1:27" ht="15.75">
      <c r="A118" s="3447" t="str">
        <f>IF(项目基本情况!F5="已注销及未注销","4.抵押担保权已注销时的房地产抵押价值",IF(项目基本情况!F5="已注销","3.抵押担保权已注销时的房地产抵押价值","——"))</f>
        <v>——</v>
      </c>
      <c r="B118" s="3448"/>
      <c r="C118" s="2786" t="str">
        <f>B103</f>
        <v>总价（万元）</v>
      </c>
      <c r="D118" s="2787" t="str">
        <f>IF(A118="——","——",D110-D114-D115)</f>
        <v>——</v>
      </c>
      <c r="E118" s="1430"/>
      <c r="F118" s="3425"/>
      <c r="G118" s="3425"/>
      <c r="H118" s="3466"/>
      <c r="I118" s="3466"/>
      <c r="J118" s="2833"/>
      <c r="O118" s="32"/>
      <c r="P118" s="32"/>
    </row>
    <row r="119" spans="1:27" s="1277" customFormat="1" ht="12.75">
      <c r="A119" s="3447"/>
      <c r="B119" s="3448"/>
      <c r="C119" s="2786" t="s">
        <v>2732</v>
      </c>
      <c r="D119" s="52" t="str">
        <f>IF(A118="——","——",IF(H19="元",ROUND(D118/B125,0),ROUND(D118*10000/B125,0)))</f>
        <v>——</v>
      </c>
      <c r="E119" s="1430"/>
      <c r="F119" s="3550" t="str">
        <f>IF(B33="总价","（以上估价结果中楼面单价为总价除以建筑面积得出）","（以上估价结果中总价为楼面单价乘以建筑面积得出）")</f>
        <v>（以上估价结果中总价为楼面单价乘以建筑面积得出）</v>
      </c>
      <c r="G119" s="3550"/>
      <c r="H119" s="3550"/>
      <c r="I119" s="3550"/>
      <c r="J119" s="2834"/>
      <c r="K119" s="659"/>
      <c r="L119" s="659"/>
      <c r="M119" s="659"/>
      <c r="N119" s="659"/>
      <c r="O119" s="32"/>
      <c r="P119" s="32"/>
      <c r="Q119" s="659"/>
      <c r="R119" s="659"/>
      <c r="S119" s="659"/>
      <c r="T119" s="659"/>
      <c r="U119" s="659"/>
      <c r="V119" s="659"/>
      <c r="W119" s="659"/>
      <c r="X119" s="659"/>
      <c r="Y119" s="659"/>
      <c r="Z119" s="659"/>
      <c r="AA119" s="659"/>
    </row>
    <row r="120" spans="1:27" s="1277" customFormat="1" ht="12.75">
      <c r="A120" s="3447" t="str">
        <f>IF(项目基本情况!G5="抵押净值",IF(OR(项目基本情况!F5="已注销",项目基本情况!F5="房地产抵押价值"),"4.抵押净值","5.抵押净值"),"——")</f>
        <v>——</v>
      </c>
      <c r="B120" s="3448"/>
      <c r="C120" s="2786" t="str">
        <f>B103</f>
        <v>总价（万元）</v>
      </c>
      <c r="D120" s="2787" t="str">
        <f>IF(A120="——","——",O61)</f>
        <v>——</v>
      </c>
      <c r="E120" s="1430"/>
      <c r="F120" s="1484"/>
      <c r="G120" s="1484"/>
      <c r="H120" s="1484"/>
      <c r="I120" s="1484"/>
      <c r="J120" s="2834"/>
      <c r="K120" s="659"/>
      <c r="L120" s="659"/>
      <c r="M120" s="659"/>
      <c r="N120" s="659"/>
      <c r="O120" s="32"/>
      <c r="P120" s="32"/>
      <c r="Q120" s="659"/>
      <c r="R120" s="659"/>
      <c r="S120" s="659"/>
      <c r="T120" s="659"/>
      <c r="U120" s="659"/>
      <c r="V120" s="659"/>
      <c r="W120" s="659"/>
      <c r="X120" s="659"/>
      <c r="Y120" s="659"/>
      <c r="Z120" s="659"/>
      <c r="AA120" s="659"/>
    </row>
    <row r="121" spans="1:27" s="1277" customFormat="1" ht="13.5" thickBot="1">
      <c r="A121" s="3516"/>
      <c r="B121" s="3517"/>
      <c r="C121" s="2791" t="s">
        <v>2732</v>
      </c>
      <c r="D121" s="2775" t="str">
        <f ca="1">IF(D120=D110,D111,IF(A120="——","——",O63))</f>
        <v>——</v>
      </c>
      <c r="E121" s="1430"/>
      <c r="F121" s="1484"/>
      <c r="G121" s="1484"/>
      <c r="H121" s="1484"/>
      <c r="I121" s="1484"/>
      <c r="J121" s="2834"/>
      <c r="K121" s="659"/>
      <c r="L121" s="659"/>
      <c r="M121" s="659"/>
      <c r="N121" s="659"/>
      <c r="O121" s="32"/>
      <c r="P121" s="32"/>
      <c r="Q121" s="659"/>
      <c r="R121" s="659"/>
      <c r="S121" s="659"/>
      <c r="T121" s="659"/>
      <c r="U121" s="659"/>
      <c r="V121" s="659"/>
      <c r="W121" s="659"/>
      <c r="X121" s="659"/>
      <c r="Y121" s="659"/>
      <c r="Z121" s="659"/>
      <c r="AA121" s="659"/>
    </row>
    <row r="122" spans="1:27" s="1277" customFormat="1" ht="15">
      <c r="A122" s="3467" t="s">
        <v>1855</v>
      </c>
      <c r="B122" s="3468"/>
      <c r="C122" s="3468"/>
      <c r="D122" s="3468"/>
      <c r="E122" s="3468"/>
      <c r="F122" s="3468"/>
      <c r="G122" s="3468"/>
      <c r="H122" s="3468"/>
      <c r="I122" s="3468"/>
      <c r="J122" s="2835"/>
      <c r="K122" s="659"/>
      <c r="L122" s="659"/>
      <c r="M122" s="659"/>
      <c r="N122" s="659"/>
      <c r="O122" s="659"/>
      <c r="P122" s="659"/>
      <c r="Q122" s="659"/>
      <c r="R122" s="659"/>
      <c r="S122" s="659"/>
      <c r="T122" s="659"/>
      <c r="U122" s="659"/>
      <c r="V122" s="659"/>
      <c r="W122" s="659"/>
      <c r="X122" s="659"/>
      <c r="Y122" s="659"/>
      <c r="Z122" s="659"/>
      <c r="AA122" s="659"/>
    </row>
    <row r="123" spans="1:27" s="1277" customFormat="1" ht="12.75">
      <c r="A123" s="3440" t="s">
        <v>2736</v>
      </c>
      <c r="B123" s="3438" t="s">
        <v>2737</v>
      </c>
      <c r="C123" s="3438" t="s">
        <v>2743</v>
      </c>
      <c r="D123" s="3445" t="s">
        <v>2738</v>
      </c>
      <c r="E123" s="3446"/>
      <c r="F123" s="3436" t="s">
        <v>2744</v>
      </c>
      <c r="G123" s="3436"/>
      <c r="H123" s="3436" t="s">
        <v>2739</v>
      </c>
      <c r="I123" s="3437"/>
      <c r="J123" s="2813"/>
      <c r="K123" s="659"/>
      <c r="L123" s="659"/>
      <c r="M123" s="659"/>
      <c r="N123" s="659"/>
      <c r="O123" s="659"/>
      <c r="P123" s="659"/>
      <c r="Q123" s="659"/>
      <c r="R123" s="659"/>
      <c r="S123" s="659"/>
      <c r="T123" s="659"/>
      <c r="U123" s="659"/>
      <c r="V123" s="659"/>
      <c r="W123" s="659"/>
      <c r="X123" s="659"/>
      <c r="Y123" s="659"/>
      <c r="Z123" s="659"/>
      <c r="AA123" s="659"/>
    </row>
    <row r="124" spans="1:27" s="1277" customFormat="1" ht="12.75">
      <c r="A124" s="3440"/>
      <c r="B124" s="3439"/>
      <c r="C124" s="3439"/>
      <c r="D124" s="2061" t="s">
        <v>2740</v>
      </c>
      <c r="E124" s="2061" t="s">
        <v>2745</v>
      </c>
      <c r="F124" s="2061" t="s">
        <v>2740</v>
      </c>
      <c r="G124" s="2061" t="s">
        <v>2741</v>
      </c>
      <c r="H124" s="2061" t="s">
        <v>2740</v>
      </c>
      <c r="I124" s="52" t="s">
        <v>2741</v>
      </c>
      <c r="J124" s="2813"/>
      <c r="K124" s="659"/>
      <c r="L124" s="659"/>
      <c r="M124" s="659"/>
      <c r="N124" s="659"/>
      <c r="O124" s="659"/>
      <c r="P124" s="659"/>
      <c r="Q124" s="659"/>
      <c r="R124" s="659"/>
      <c r="S124" s="659"/>
      <c r="T124" s="659"/>
      <c r="U124" s="659"/>
      <c r="V124" s="659"/>
      <c r="W124" s="659"/>
      <c r="X124" s="659"/>
      <c r="Y124" s="659"/>
      <c r="Z124" s="659"/>
      <c r="AA124" s="659"/>
    </row>
    <row r="125" spans="1:27" s="1277" customFormat="1" ht="12.75">
      <c r="A125" s="2051" t="str">
        <f>项目基本情况!I1</f>
        <v>北京市房地产</v>
      </c>
      <c r="B125" s="2061">
        <f>典型户型修正!B25</f>
        <v>393.43</v>
      </c>
      <c r="C125" s="1425"/>
      <c r="D125" s="2061">
        <f>C36</f>
        <v>0</v>
      </c>
      <c r="E125" s="2061">
        <f>ROUND(IF(H19="元",D125/B125,D125*10000/B125),0)</f>
        <v>0</v>
      </c>
      <c r="F125" s="2061">
        <f>C37</f>
        <v>0</v>
      </c>
      <c r="G125" s="2061">
        <f>ROUND(IF(H19="元",F125/B125,F125*10000/B125),0)</f>
        <v>0</v>
      </c>
      <c r="H125" s="2061">
        <f ca="1">C34</f>
        <v>1082</v>
      </c>
      <c r="I125" s="52">
        <f ca="1">C35</f>
        <v>27502</v>
      </c>
      <c r="J125" s="2813"/>
      <c r="K125" s="659"/>
      <c r="L125" s="659"/>
      <c r="M125" s="659"/>
      <c r="N125" s="659"/>
      <c r="O125" s="659"/>
      <c r="P125" s="659"/>
      <c r="Q125" s="659"/>
      <c r="R125" s="659"/>
      <c r="S125" s="659"/>
      <c r="T125" s="659"/>
      <c r="U125" s="659"/>
      <c r="V125" s="659"/>
      <c r="W125" s="659"/>
      <c r="X125" s="659"/>
      <c r="Y125" s="659"/>
      <c r="Z125" s="659"/>
      <c r="AA125" s="659"/>
    </row>
    <row r="126" spans="1:27" s="1277" customFormat="1" ht="12.75">
      <c r="A126" s="3440" t="s">
        <v>2742</v>
      </c>
      <c r="B126" s="3436"/>
      <c r="C126" s="3436"/>
      <c r="D126" s="3471" t="str">
        <f>IF(H19="元",NUMBERSTRING(INT(D125),2)&amp;"元整",NUMBERSTRING(INT(D125*10000),2)&amp;"元整")</f>
        <v>零元整</v>
      </c>
      <c r="E126" s="3472"/>
      <c r="F126" s="3471" t="str">
        <f>IF(H19="元",NUMBERSTRING(INT(F125),2)&amp;"元整",NUMBERSTRING(INT(F125*10000),2)&amp;"元整")</f>
        <v>零元整</v>
      </c>
      <c r="G126" s="3472"/>
      <c r="H126" s="3471" t="str">
        <f ca="1">IF(H19="元",NUMBERSTRING(INT(H125),2)&amp;"元整",NUMBERSTRING(INT(H125*10000),2)&amp;"元整")</f>
        <v>壹仟零捌拾贰万元整</v>
      </c>
      <c r="I126" s="3520"/>
      <c r="J126" s="2836"/>
      <c r="K126" s="659"/>
      <c r="L126" s="659"/>
      <c r="M126" s="659"/>
      <c r="N126" s="659"/>
      <c r="O126" s="659"/>
      <c r="P126" s="659"/>
      <c r="Q126" s="659"/>
      <c r="R126" s="659"/>
      <c r="S126" s="659"/>
      <c r="T126" s="659"/>
      <c r="U126" s="659"/>
      <c r="V126" s="659"/>
      <c r="W126" s="659"/>
      <c r="X126" s="659"/>
      <c r="Y126" s="659"/>
      <c r="Z126" s="659"/>
      <c r="AA126" s="659"/>
    </row>
    <row r="127" spans="1:27" s="1277" customFormat="1" ht="12.75">
      <c r="A127" s="3460" t="str">
        <f>IF(项目基本情况!D5="房地产市场价值","——",MID(A112,3,LEN(A112)-2))</f>
        <v>估价师所知悉的法定优先受偿款</v>
      </c>
      <c r="B127" s="3473"/>
      <c r="C127" s="3462"/>
      <c r="D127" s="3464">
        <f>I107</f>
        <v>0</v>
      </c>
      <c r="E127" s="3473"/>
      <c r="F127" s="3473"/>
      <c r="G127" s="3473"/>
      <c r="H127" s="3473"/>
      <c r="I127" s="3461"/>
      <c r="J127" s="2829"/>
      <c r="K127" s="659"/>
      <c r="L127" s="659"/>
      <c r="M127" s="659"/>
      <c r="N127" s="659"/>
      <c r="O127" s="659"/>
      <c r="P127" s="659"/>
      <c r="Q127" s="659"/>
      <c r="R127" s="659"/>
      <c r="S127" s="659"/>
      <c r="T127" s="659"/>
      <c r="U127" s="659"/>
      <c r="V127" s="659"/>
      <c r="W127" s="659"/>
      <c r="X127" s="659"/>
      <c r="Y127" s="659"/>
      <c r="Z127" s="659"/>
      <c r="AA127" s="659"/>
    </row>
    <row r="128" spans="1:27" s="1277" customFormat="1" ht="12.75">
      <c r="A128" s="3474" t="s">
        <v>2742</v>
      </c>
      <c r="B128" s="3475"/>
      <c r="C128" s="3476"/>
      <c r="D128" s="3512">
        <f>H111</f>
        <v>0</v>
      </c>
      <c r="E128" s="3513"/>
      <c r="F128" s="3513"/>
      <c r="G128" s="3513"/>
      <c r="H128" s="3513"/>
      <c r="I128" s="3514"/>
      <c r="J128" s="2837"/>
      <c r="K128" s="659"/>
      <c r="L128" s="659"/>
      <c r="M128" s="659"/>
      <c r="N128" s="659"/>
      <c r="O128" s="659"/>
      <c r="P128" s="659"/>
      <c r="Q128" s="659"/>
      <c r="R128" s="659"/>
      <c r="S128" s="659"/>
      <c r="T128" s="659"/>
      <c r="U128" s="659"/>
      <c r="V128" s="659"/>
      <c r="W128" s="659"/>
      <c r="X128" s="659"/>
      <c r="Y128" s="659"/>
      <c r="Z128" s="659"/>
      <c r="AA128" s="659"/>
    </row>
    <row r="129" spans="1:27" s="1277" customFormat="1" ht="12.75">
      <c r="A129" s="3447" t="str">
        <f>IF(项目基本情况!D5="房地产市场价值","——",MID(A116,3,LEN(A116)-2))</f>
        <v>房地产抵押价值</v>
      </c>
      <c r="B129" s="3448"/>
      <c r="C129" s="3448"/>
      <c r="D129" s="3464">
        <f ca="1">I112</f>
        <v>1082</v>
      </c>
      <c r="E129" s="3473"/>
      <c r="F129" s="3473"/>
      <c r="G129" s="3473"/>
      <c r="H129" s="3473"/>
      <c r="I129" s="3461"/>
      <c r="J129" s="2829"/>
      <c r="K129" s="659"/>
      <c r="L129" s="659"/>
      <c r="M129" s="659"/>
      <c r="N129" s="659"/>
      <c r="O129" s="659"/>
      <c r="P129" s="659"/>
      <c r="Q129" s="659"/>
      <c r="R129" s="659"/>
      <c r="S129" s="659"/>
      <c r="T129" s="659"/>
      <c r="U129" s="659"/>
      <c r="V129" s="659"/>
      <c r="W129" s="659"/>
      <c r="X129" s="659"/>
      <c r="Y129" s="659"/>
      <c r="Z129" s="659"/>
      <c r="AA129" s="659"/>
    </row>
    <row r="130" spans="1:27" s="1277" customFormat="1" ht="12.75">
      <c r="A130" s="3440" t="s">
        <v>2742</v>
      </c>
      <c r="B130" s="3436"/>
      <c r="C130" s="3436"/>
      <c r="D130" s="3512">
        <f ca="1">I113</f>
        <v>27502</v>
      </c>
      <c r="E130" s="3513"/>
      <c r="F130" s="3513"/>
      <c r="G130" s="3513"/>
      <c r="H130" s="3513"/>
      <c r="I130" s="3514"/>
      <c r="J130" s="2837"/>
      <c r="K130" s="659"/>
      <c r="L130" s="659"/>
      <c r="M130" s="659"/>
      <c r="N130" s="659"/>
      <c r="O130" s="659"/>
      <c r="P130" s="659"/>
      <c r="Q130" s="659"/>
      <c r="R130" s="659"/>
      <c r="S130" s="659"/>
      <c r="T130" s="659"/>
      <c r="U130" s="659"/>
      <c r="V130" s="659"/>
      <c r="W130" s="659"/>
      <c r="X130" s="659"/>
      <c r="Y130" s="659"/>
      <c r="Z130" s="659"/>
      <c r="AA130" s="659"/>
    </row>
    <row r="131" spans="1:27" s="1277" customFormat="1" ht="13.5" thickBot="1">
      <c r="A131" s="3447" t="str">
        <f>IF(项目基本情况!D5="房地产市场价值","——",MID(A118,3,LEN(A118)-2))</f>
        <v/>
      </c>
      <c r="B131" s="3448"/>
      <c r="C131" s="3448"/>
      <c r="D131" s="3420" t="str">
        <f>I114</f>
        <v>——</v>
      </c>
      <c r="E131" s="3421"/>
      <c r="F131" s="3421"/>
      <c r="G131" s="3421"/>
      <c r="H131" s="3421"/>
      <c r="I131" s="3422"/>
      <c r="J131" s="2829"/>
      <c r="K131" s="659"/>
      <c r="L131" s="659"/>
      <c r="M131" s="659"/>
      <c r="N131" s="659"/>
      <c r="O131" s="659"/>
      <c r="P131" s="659"/>
      <c r="Q131" s="659"/>
      <c r="R131" s="659"/>
      <c r="S131" s="659"/>
      <c r="T131" s="659"/>
      <c r="U131" s="659"/>
      <c r="V131" s="659"/>
      <c r="W131" s="659"/>
      <c r="X131" s="659"/>
      <c r="Y131" s="659"/>
      <c r="Z131" s="659"/>
      <c r="AA131" s="659"/>
    </row>
    <row r="132" spans="1:27" s="1277" customFormat="1" ht="14.25" thickTop="1" thickBot="1">
      <c r="A132" s="3440" t="s">
        <v>2742</v>
      </c>
      <c r="B132" s="3436"/>
      <c r="C132" s="3487"/>
      <c r="D132" s="3465" t="str">
        <f>I115</f>
        <v>——</v>
      </c>
      <c r="E132" s="3465"/>
      <c r="F132" s="3465"/>
      <c r="G132" s="3465"/>
      <c r="H132" s="3465"/>
      <c r="I132" s="3465"/>
      <c r="J132" s="2837"/>
      <c r="K132" s="659"/>
      <c r="L132" s="659"/>
      <c r="M132" s="659"/>
      <c r="N132" s="659"/>
      <c r="O132" s="659"/>
      <c r="P132" s="659"/>
      <c r="Q132" s="659"/>
      <c r="R132" s="659"/>
      <c r="S132" s="659"/>
      <c r="T132" s="659"/>
      <c r="U132" s="659"/>
      <c r="V132" s="659"/>
      <c r="W132" s="659"/>
      <c r="X132" s="659"/>
      <c r="Y132" s="659"/>
      <c r="Z132" s="659"/>
      <c r="AA132" s="659"/>
    </row>
    <row r="133" spans="1:27" s="1277" customFormat="1" ht="14.25" thickTop="1" thickBot="1">
      <c r="A133" s="3447" t="str">
        <f>IF(项目基本情况!D5="房地产市场价值","——",MID(F116,3,LEN(F116)-2))</f>
        <v/>
      </c>
      <c r="B133" s="3448"/>
      <c r="C133" s="3464"/>
      <c r="D133" s="3515" t="str">
        <f>I116</f>
        <v>——</v>
      </c>
      <c r="E133" s="3515"/>
      <c r="F133" s="3515"/>
      <c r="G133" s="3515"/>
      <c r="H133" s="3515"/>
      <c r="I133" s="3515"/>
      <c r="J133" s="2829"/>
      <c r="K133" s="659"/>
      <c r="L133" s="659"/>
      <c r="M133" s="659"/>
      <c r="N133" s="659"/>
      <c r="O133" s="659"/>
      <c r="P133" s="659"/>
      <c r="Q133" s="659"/>
      <c r="R133" s="659"/>
      <c r="S133" s="659"/>
      <c r="T133" s="659"/>
      <c r="U133" s="659"/>
      <c r="V133" s="659"/>
      <c r="W133" s="659"/>
      <c r="X133" s="659"/>
      <c r="Y133" s="659"/>
      <c r="Z133" s="659"/>
      <c r="AA133" s="659"/>
    </row>
    <row r="134" spans="1:27" s="1277" customFormat="1" ht="14.25" thickTop="1" thickBot="1">
      <c r="A134" s="3503" t="s">
        <v>2742</v>
      </c>
      <c r="B134" s="3504"/>
      <c r="C134" s="3504"/>
      <c r="D134" s="3521">
        <f>H118</f>
        <v>0</v>
      </c>
      <c r="E134" s="3522"/>
      <c r="F134" s="3522"/>
      <c r="G134" s="3522"/>
      <c r="H134" s="3522"/>
      <c r="I134" s="3523"/>
      <c r="J134" s="2837"/>
      <c r="K134" s="659"/>
      <c r="L134" s="659"/>
      <c r="M134" s="659"/>
      <c r="N134" s="659"/>
      <c r="O134" s="659"/>
      <c r="P134" s="659"/>
      <c r="Q134" s="659"/>
      <c r="R134" s="659"/>
      <c r="S134" s="659"/>
      <c r="T134" s="659"/>
      <c r="U134" s="659"/>
      <c r="V134" s="659"/>
      <c r="W134" s="659"/>
      <c r="X134" s="659"/>
      <c r="Y134" s="659"/>
      <c r="Z134" s="659"/>
      <c r="AA134" s="659"/>
    </row>
    <row r="135" spans="1:27" s="1277" customFormat="1" ht="12.75">
      <c r="A135" s="1450" t="str">
        <f>IF(H19="元","单位：平方米、元、元/平方米（币种：人民币）","单位：平方米、万元、元/平方米（币种：人民币）")</f>
        <v>单位：平方米、万元、元/平方米（币种：人民币）</v>
      </c>
      <c r="B135" s="1450"/>
      <c r="C135" s="1450"/>
      <c r="D135" s="1450"/>
      <c r="E135" s="1450"/>
      <c r="F135" s="1450"/>
      <c r="G135" s="1450"/>
      <c r="H135" s="1450"/>
      <c r="I135" s="1450"/>
      <c r="J135" s="2838"/>
      <c r="K135" s="659"/>
      <c r="L135" s="659"/>
      <c r="M135" s="659"/>
      <c r="N135" s="659"/>
      <c r="O135" s="659"/>
      <c r="P135" s="659"/>
      <c r="Q135" s="659"/>
      <c r="R135" s="659"/>
      <c r="S135" s="659"/>
      <c r="T135" s="659"/>
      <c r="U135" s="659"/>
      <c r="V135" s="659"/>
      <c r="W135" s="659"/>
      <c r="X135" s="659"/>
      <c r="Y135" s="659"/>
      <c r="Z135" s="659"/>
      <c r="AA135" s="659"/>
    </row>
    <row r="136" spans="1:27" s="1277" customFormat="1" ht="13.5" thickBot="1">
      <c r="A136" s="3508" t="str">
        <f>IF(B33="总价","（以上估价结果中楼面单价为总价除以建筑面积得出）","（以上估价结果中总价为楼面单价乘以建筑面积得出）")</f>
        <v>（以上估价结果中总价为楼面单价乘以建筑面积得出）</v>
      </c>
      <c r="B136" s="3508"/>
      <c r="C136" s="3508"/>
      <c r="D136" s="3508"/>
      <c r="E136" s="3508"/>
      <c r="F136" s="3508"/>
      <c r="G136" s="3508"/>
      <c r="H136" s="3508"/>
      <c r="I136" s="3508"/>
      <c r="J136" s="2831"/>
      <c r="K136" s="659"/>
      <c r="L136" s="659"/>
      <c r="M136" s="659"/>
      <c r="N136" s="659"/>
      <c r="O136" s="659"/>
      <c r="P136" s="659"/>
      <c r="Q136" s="659"/>
      <c r="R136" s="659"/>
      <c r="S136" s="659"/>
      <c r="T136" s="659"/>
      <c r="U136" s="659"/>
      <c r="V136" s="659"/>
      <c r="W136" s="659"/>
      <c r="X136" s="659"/>
      <c r="Y136" s="659"/>
      <c r="Z136" s="659"/>
      <c r="AA136" s="659"/>
    </row>
    <row r="137" spans="1:27" s="1277" customFormat="1" ht="21.75" customHeight="1">
      <c r="A137" s="1460" t="s">
        <v>1818</v>
      </c>
      <c r="B137" s="1461"/>
      <c r="C137" s="1462" t="s">
        <v>1819</v>
      </c>
      <c r="D137" s="1463"/>
      <c r="E137" s="1463"/>
      <c r="F137" s="1463"/>
      <c r="G137" s="1463"/>
      <c r="H137" s="1464"/>
      <c r="I137" s="1465"/>
      <c r="J137" s="2839"/>
      <c r="K137" s="659"/>
      <c r="L137" s="659"/>
      <c r="M137" s="659"/>
      <c r="N137" s="659"/>
      <c r="O137" s="659"/>
      <c r="P137" s="659"/>
      <c r="Q137" s="659"/>
      <c r="R137" s="659"/>
      <c r="S137" s="659"/>
      <c r="T137" s="659"/>
      <c r="U137" s="659"/>
      <c r="V137" s="659"/>
      <c r="W137" s="659"/>
      <c r="X137" s="659"/>
      <c r="Y137" s="659"/>
      <c r="Z137" s="659"/>
      <c r="AA137" s="659"/>
    </row>
    <row r="138" spans="1:27" s="1277" customFormat="1" ht="21.75" customHeight="1">
      <c r="A138" s="1466">
        <v>1</v>
      </c>
      <c r="B138" s="1467"/>
      <c r="C138" s="1467"/>
      <c r="D138" s="1463"/>
      <c r="E138" s="1463"/>
      <c r="F138" s="1463"/>
      <c r="G138" s="1463"/>
      <c r="H138" s="1464"/>
      <c r="I138" s="1465"/>
      <c r="J138" s="2839"/>
      <c r="K138" s="659"/>
      <c r="L138" s="659"/>
      <c r="M138" s="659"/>
      <c r="N138" s="659"/>
      <c r="O138" s="659"/>
      <c r="P138" s="659"/>
      <c r="Q138" s="659"/>
      <c r="R138" s="659"/>
      <c r="S138" s="659"/>
      <c r="T138" s="659"/>
      <c r="U138" s="659"/>
      <c r="V138" s="659"/>
      <c r="W138" s="659"/>
      <c r="X138" s="659"/>
      <c r="Y138" s="659"/>
      <c r="Z138" s="659"/>
      <c r="AA138" s="659"/>
    </row>
    <row r="139" spans="1:27" s="1277" customFormat="1" ht="21.75" customHeight="1">
      <c r="A139" s="1466">
        <v>2</v>
      </c>
      <c r="B139" s="1467"/>
      <c r="C139" s="1467"/>
      <c r="D139" s="1463"/>
      <c r="E139" s="1463"/>
      <c r="F139" s="1463"/>
      <c r="G139" s="1463"/>
      <c r="H139" s="1464"/>
      <c r="I139" s="1465"/>
      <c r="J139" s="2839"/>
      <c r="K139" s="659"/>
      <c r="L139" s="659"/>
      <c r="M139" s="659"/>
      <c r="N139" s="659"/>
      <c r="O139" s="659"/>
      <c r="P139" s="659"/>
      <c r="Q139" s="659"/>
      <c r="R139" s="659"/>
      <c r="S139" s="659"/>
      <c r="T139" s="659"/>
      <c r="U139" s="659"/>
      <c r="V139" s="659"/>
      <c r="W139" s="659"/>
      <c r="X139" s="659"/>
      <c r="Y139" s="659"/>
      <c r="Z139" s="659"/>
      <c r="AA139" s="659"/>
    </row>
    <row r="140" spans="1:27" s="1277" customFormat="1" ht="21.75" customHeight="1">
      <c r="A140" s="1466">
        <v>3</v>
      </c>
      <c r="B140" s="1467"/>
      <c r="C140" s="1467"/>
      <c r="D140" s="1463"/>
      <c r="E140" s="1463"/>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7" customFormat="1" ht="21.75" customHeight="1">
      <c r="A141" s="1468"/>
      <c r="B141" s="1469"/>
      <c r="C141" s="1469"/>
      <c r="D141" s="1470"/>
      <c r="E141" s="1470"/>
      <c r="F141" s="1470"/>
      <c r="G141" s="1470"/>
      <c r="H141" s="1471"/>
      <c r="I141" s="1472"/>
      <c r="J141" s="2839"/>
      <c r="K141" s="659"/>
      <c r="L141" s="659"/>
      <c r="M141" s="659"/>
      <c r="N141" s="659"/>
      <c r="O141" s="659"/>
      <c r="P141" s="659"/>
      <c r="Q141" s="659"/>
      <c r="R141" s="659"/>
      <c r="S141" s="659"/>
      <c r="T141" s="659"/>
      <c r="U141" s="659"/>
      <c r="V141" s="659"/>
      <c r="W141" s="659"/>
      <c r="X141" s="659"/>
      <c r="Y141" s="659"/>
      <c r="Z141" s="659"/>
      <c r="AA141" s="659"/>
    </row>
    <row r="142" spans="1:27" s="1277" customFormat="1" ht="21.75" customHeight="1">
      <c r="A142" s="1467"/>
      <c r="B142" s="1467"/>
      <c r="C142" s="1467"/>
      <c r="D142" s="1463"/>
      <c r="E142" s="1463"/>
      <c r="F142" s="1463"/>
      <c r="G142" s="1463"/>
      <c r="H142" s="1464"/>
      <c r="I142" s="659"/>
      <c r="J142" s="2840"/>
      <c r="K142" s="659"/>
      <c r="L142" s="659"/>
      <c r="M142" s="659"/>
      <c r="N142" s="659"/>
      <c r="O142" s="659"/>
      <c r="P142" s="659"/>
      <c r="Q142" s="659"/>
      <c r="R142" s="659"/>
      <c r="S142" s="659"/>
      <c r="T142" s="659"/>
      <c r="U142" s="659"/>
      <c r="V142" s="659"/>
      <c r="W142" s="659"/>
      <c r="X142" s="659"/>
      <c r="Y142" s="659"/>
      <c r="Z142" s="659"/>
      <c r="AA142" s="659"/>
    </row>
    <row r="143" spans="1:27" s="1277" customFormat="1" ht="21.75" customHeight="1">
      <c r="A143" s="659"/>
      <c r="B143" s="659"/>
      <c r="C143" s="659"/>
      <c r="D143" s="659"/>
      <c r="E143" s="659"/>
      <c r="F143" s="1473" t="s">
        <v>1820</v>
      </c>
      <c r="G143" s="1474"/>
      <c r="H143" s="1474"/>
      <c r="I143" s="1475" t="s">
        <v>1821</v>
      </c>
      <c r="J143" s="2841"/>
      <c r="K143" s="659"/>
      <c r="L143" s="659"/>
      <c r="M143" s="659"/>
      <c r="N143" s="659"/>
      <c r="O143" s="659"/>
      <c r="P143" s="659"/>
      <c r="Q143" s="659"/>
      <c r="R143" s="659"/>
      <c r="S143" s="659"/>
      <c r="T143" s="659"/>
      <c r="U143" s="659"/>
      <c r="V143" s="659"/>
      <c r="W143" s="659"/>
      <c r="X143" s="659"/>
      <c r="Y143" s="659"/>
      <c r="Z143" s="659"/>
      <c r="AA143" s="659"/>
    </row>
    <row r="144" spans="1:27" s="1277" customFormat="1" ht="21.75" customHeight="1">
      <c r="A144" s="659"/>
      <c r="B144" s="1476" t="s">
        <v>1822</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7"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7" customFormat="1" ht="21.75" customHeight="1">
      <c r="A146" s="659"/>
      <c r="B146" s="1474"/>
      <c r="C146" s="1474"/>
      <c r="D146" s="1474"/>
      <c r="E146" s="1474"/>
      <c r="F146" s="1474"/>
      <c r="G146" s="1474"/>
      <c r="H146" s="1474"/>
      <c r="I146" s="1475" t="s">
        <v>1823</v>
      </c>
      <c r="J146" s="2841"/>
      <c r="K146" s="659"/>
      <c r="L146" s="659"/>
      <c r="M146" s="659"/>
      <c r="N146" s="659"/>
      <c r="O146" s="659"/>
      <c r="P146" s="659"/>
      <c r="Q146" s="659"/>
      <c r="R146" s="659"/>
      <c r="S146" s="659"/>
      <c r="T146" s="659"/>
      <c r="U146" s="659"/>
      <c r="V146" s="659"/>
      <c r="W146" s="659"/>
      <c r="X146" s="659"/>
      <c r="Y146" s="659"/>
      <c r="Z146" s="659"/>
      <c r="AA146" s="659"/>
    </row>
    <row r="147" spans="1:27" s="1277" customFormat="1" ht="21.75" customHeight="1">
      <c r="A147" s="659"/>
      <c r="B147" s="1476" t="s">
        <v>1824</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7" customFormat="1" ht="21.75" customHeight="1">
      <c r="A148" s="659"/>
      <c r="B148" s="1476"/>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7" customFormat="1" ht="21.75" customHeight="1">
      <c r="A149" s="659"/>
      <c r="B149" s="1474"/>
      <c r="C149" s="1474"/>
      <c r="D149" s="1474"/>
      <c r="E149" s="1474"/>
      <c r="F149" s="1474"/>
      <c r="G149" s="1474"/>
      <c r="H149" s="1474"/>
      <c r="I149" s="1475" t="s">
        <v>1823</v>
      </c>
      <c r="J149" s="2841"/>
      <c r="K149" s="659"/>
      <c r="L149" s="659"/>
      <c r="M149" s="659"/>
      <c r="N149" s="659"/>
      <c r="O149" s="659"/>
      <c r="P149" s="659"/>
      <c r="Q149" s="659"/>
      <c r="R149" s="659"/>
      <c r="S149" s="659"/>
      <c r="T149" s="659"/>
      <c r="U149" s="659"/>
      <c r="V149" s="659"/>
      <c r="W149" s="659"/>
      <c r="X149" s="659"/>
      <c r="Y149" s="659"/>
      <c r="Z149" s="659"/>
      <c r="AA149" s="659"/>
    </row>
    <row r="150" spans="1:27" s="1277" customFormat="1" ht="21.75" customHeight="1">
      <c r="A150" s="659"/>
      <c r="B150" s="1476"/>
      <c r="C150" s="1477"/>
      <c r="D150" s="1478"/>
      <c r="E150" s="1478"/>
      <c r="F150" s="1479"/>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6"/>
      <c r="C151" s="1477"/>
      <c r="D151" s="1478"/>
      <c r="E151" s="1478"/>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7"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7"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7"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7"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7"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7"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7"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7"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7"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7"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7"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7"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7"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7"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7"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7"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7"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7"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7"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7"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7"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7"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7"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7"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7"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7"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7"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7"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7"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7"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7"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7"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7"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7"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7"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7"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7"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7"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7"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7"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7"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7"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7"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7"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7"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7"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7"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7"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7"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7"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7"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7"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7"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7"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7"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7"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7"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7"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7"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7"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7"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7"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7"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7"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7"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7"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7"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7"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7"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7"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7"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7"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7"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7"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7"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7"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7"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7"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7"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7"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7"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7"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7"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7"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7"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7"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7"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7"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7"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7"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7"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7"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7"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7"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7"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7"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7"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7"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7"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7"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7"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7"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7"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7"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7"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7"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7"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7"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7"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7"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7"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7"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7"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7"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7"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7"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7"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7"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7"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7"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7"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7"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7"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7"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7"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7"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7"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7"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7"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7"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7"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7"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7"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7"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7"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7"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7"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7" customFormat="1" ht="21.75" customHeight="1">
      <c r="F520" s="1431"/>
      <c r="G520" s="1431"/>
      <c r="H520" s="1431"/>
      <c r="I520" s="1431"/>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34" sqref="J3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t="s">
        <v>2691</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t="e">
        <f ca="1">IF(D2="——",IF(C2="元",C52,ROUND(C52/10000,0)),IF(C2="元",C52,ROUND(C52/10000,0))-E2)</f>
        <v>#DIV/0!</v>
      </c>
      <c r="C2" s="79" t="str">
        <f>'数据-取费表'!B3</f>
        <v>万元</v>
      </c>
      <c r="D2" s="1485" t="s">
        <v>1184</v>
      </c>
      <c r="E2" s="1150" t="e">
        <f ca="1">SUMIF(INDIRECT("'"&amp;G2&amp;"'"&amp;"!A:A"),"承租人权益价值",INDIRECT("'"&amp;G2&amp;"'"&amp;"!c:c"))</f>
        <v>#REF!</v>
      </c>
      <c r="F2" s="1486" t="str">
        <f>C2</f>
        <v>万元</v>
      </c>
      <c r="G2" s="130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t="e">
        <f ca="1">ROUND(C52/IF(B1="仅计算典型户型",'数据-取费表'!E5,'数据-取费表'!B5),0)</f>
        <v>#DIV/0!</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1861</v>
      </c>
      <c r="B5" s="89" t="s">
        <v>1862</v>
      </c>
      <c r="C5" s="111" t="e">
        <f>C6+C7+C8</f>
        <v>#DIV/0!</v>
      </c>
      <c r="D5" s="111" t="s">
        <v>1863</v>
      </c>
      <c r="E5" s="1136" t="s">
        <v>1864</v>
      </c>
      <c r="F5" s="1136"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5" t="e">
        <f>基准地价修正!B2</f>
        <v>#DIV/0!</v>
      </c>
      <c r="D6" s="1137"/>
      <c r="E6" s="1138"/>
      <c r="F6" s="113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t="e">
        <f>ROUND(C6*F7,0)</f>
        <v>#DIV/0!</v>
      </c>
      <c r="D7" s="115"/>
      <c r="E7" s="1138"/>
      <c r="F7" s="113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78686</v>
      </c>
      <c r="D8" s="1140"/>
      <c r="E8" s="115"/>
      <c r="F8" s="1139"/>
      <c r="G8" s="1487" t="s">
        <v>2999</v>
      </c>
    </row>
    <row r="9" spans="1:123" s="91" customFormat="1" ht="13.5" customHeight="1">
      <c r="A9" s="993" t="s">
        <v>945</v>
      </c>
      <c r="B9" s="97" t="s">
        <v>1872</v>
      </c>
      <c r="C9" s="1141">
        <f>ROUND(D9*E9,0)</f>
        <v>0</v>
      </c>
      <c r="D9" s="1142">
        <f>IF('数据-取费表'!B10="住宅",IF(B1="仅计算典型户型",'数据-取费表'!E5,'数据-取费表'!B5),0)</f>
        <v>0</v>
      </c>
      <c r="E9" s="1141">
        <f>'数据-取费表'!E11</f>
        <v>0</v>
      </c>
      <c r="F9" s="113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1">
        <f>ROUND(D10*E10,0)</f>
        <v>78686</v>
      </c>
      <c r="D10" s="1142">
        <f>IF('数据-取费表'!B10&lt;&gt;"住宅",IF(B1="仅计算典型户型",'数据-取费表'!E5,'数据-取费表'!B5),0)</f>
        <v>393.43</v>
      </c>
      <c r="E10" s="1141">
        <f>'数据-取费表'!E12</f>
        <v>200</v>
      </c>
      <c r="F10" s="113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8"/>
      <c r="F11" s="113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3"/>
      <c r="F12" s="113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8"/>
      <c r="F13" s="113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8"/>
      <c r="F14" s="1138"/>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8"/>
      <c r="F15" s="1138"/>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8"/>
      <c r="F16" s="113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4"/>
      <c r="D17" s="1144"/>
      <c r="E17" s="1144"/>
      <c r="F17" s="1144"/>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8"/>
      <c r="F18" s="1139">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5">
        <f>IF(B1="仅计算典型户型",'数据-取费表'!E5,'数据-取费表'!B5)</f>
        <v>393.43</v>
      </c>
      <c r="E19" s="111">
        <f>'数据-取费表'!E15</f>
        <v>200</v>
      </c>
      <c r="F19" s="112"/>
      <c r="G19" s="1487" t="s">
        <v>3000</v>
      </c>
    </row>
    <row r="20" spans="1:123" s="91" customFormat="1" ht="13.5" customHeight="1">
      <c r="A20" s="120" t="s">
        <v>1885</v>
      </c>
      <c r="B20" s="89" t="s">
        <v>1886</v>
      </c>
      <c r="C20" s="99" t="e">
        <f>ROUND((C5+C19)*F20,0)</f>
        <v>#DIV/0!</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t="e">
        <f ca="1">ROUND(SUM(C23:C25),0)</f>
        <v>#DIV/0!</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5" t="e">
        <f ca="1">ROUND(IF('数据-取费表'!B24&lt;=1,C5*F22*'数据-取费表'!B25,C5*(POWER((1+F22),'数据-取费表'!B25)-1)),0)</f>
        <v>#DIV/0!</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5">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5" t="e">
        <f ca="1">ROUND(IF('数据-取费表'!B24&lt;=1,C20*F22*'数据-取费表'!B25/2,C20*(POWER((1+F22),'数据-取费表'!B25/2)-1)),0)</f>
        <v>#DIV/0!</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t="e">
        <f>C28</f>
        <v>#DIV/0!</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t="e">
        <f ca="1">ROUND((C5+C19+C20+C22+C27)/(1-C21-D22-D27-C30),0)</f>
        <v>#DIV/0!</v>
      </c>
      <c r="D31" s="1145"/>
      <c r="E31" s="111"/>
      <c r="F31" s="1146"/>
      <c r="G31" s="100" t="s">
        <v>1912</v>
      </c>
    </row>
    <row r="32" spans="1:123" s="88" customFormat="1" ht="15.75">
      <c r="A32" s="117" t="s">
        <v>1913</v>
      </c>
      <c r="B32" s="118"/>
      <c r="C32" s="1147"/>
      <c r="D32" s="1147"/>
      <c r="E32" s="1147"/>
      <c r="F32" s="1147"/>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1914</v>
      </c>
      <c r="B33" s="89" t="s">
        <v>1915</v>
      </c>
      <c r="C33" s="121">
        <f>SUM(C34:C38)</f>
        <v>1517656</v>
      </c>
      <c r="D33" s="99"/>
      <c r="E33" s="113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1377005</v>
      </c>
      <c r="D34" s="1137"/>
      <c r="E34" s="115"/>
      <c r="F34" s="1148" t="str">
        <f>IF('数据-取费表'!B26=0,"",'数据-取费表'!E20)</f>
        <v/>
      </c>
      <c r="G34" s="95"/>
    </row>
    <row r="35" spans="1:123" ht="13.5" customHeight="1">
      <c r="A35" s="92" t="s">
        <v>1868</v>
      </c>
      <c r="B35" s="93" t="s">
        <v>1917</v>
      </c>
      <c r="C35" s="115">
        <f>ROUND(C34*F35,0)</f>
        <v>41310</v>
      </c>
      <c r="D35" s="115"/>
      <c r="E35" s="115"/>
      <c r="F35" s="1149">
        <f>'数据-取费表'!E21</f>
        <v>0.03</v>
      </c>
      <c r="G35" s="95" t="s">
        <v>1918</v>
      </c>
    </row>
    <row r="36" spans="1:123" ht="24">
      <c r="A36" s="92" t="s">
        <v>1870</v>
      </c>
      <c r="B36" s="93" t="s">
        <v>1919</v>
      </c>
      <c r="C36" s="115">
        <f>ROUND(IF('数据-取费表'!B10="住宅",C34*F36,0),0)</f>
        <v>0</v>
      </c>
      <c r="D36" s="115"/>
      <c r="E36" s="115"/>
      <c r="F36" s="1149">
        <f>'数据-取费表'!E22</f>
        <v>0.05</v>
      </c>
      <c r="G36" s="123" t="s">
        <v>1920</v>
      </c>
    </row>
    <row r="37" spans="1:123" s="122" customFormat="1" ht="13.5" customHeight="1">
      <c r="A37" s="92" t="s">
        <v>1901</v>
      </c>
      <c r="B37" s="93" t="s">
        <v>1921</v>
      </c>
      <c r="C37" s="115">
        <f>ROUND(E37*D37,0)</f>
        <v>78686</v>
      </c>
      <c r="D37" s="1137">
        <f>IF(B1="仅计算典型户型",'数据-取费表'!E5,'数据-取费表'!B5)</f>
        <v>393.43</v>
      </c>
      <c r="E37" s="115">
        <f>'数据-取费表'!E23</f>
        <v>200</v>
      </c>
      <c r="F37" s="1149"/>
      <c r="G37" s="124" t="s">
        <v>1922</v>
      </c>
    </row>
    <row r="38" spans="1:123" ht="13.5" customHeight="1">
      <c r="A38" s="92" t="s">
        <v>1923</v>
      </c>
      <c r="B38" s="93" t="s">
        <v>1924</v>
      </c>
      <c r="C38" s="115">
        <f>ROUND(C34*F38,0)</f>
        <v>20655</v>
      </c>
      <c r="D38" s="115"/>
      <c r="E38" s="115"/>
      <c r="F38" s="1149">
        <f>'数据-取费表'!E24</f>
        <v>1.4999999999999999E-2</v>
      </c>
      <c r="G38" s="95" t="s">
        <v>1918</v>
      </c>
    </row>
    <row r="39" spans="1:123" s="91" customFormat="1" ht="13.5" customHeight="1">
      <c r="A39" s="120" t="s">
        <v>1883</v>
      </c>
      <c r="B39" s="89" t="s">
        <v>1886</v>
      </c>
      <c r="C39" s="99">
        <f>ROUND(C33*F20,0)</f>
        <v>30353</v>
      </c>
      <c r="D39" s="99"/>
      <c r="E39" s="99"/>
      <c r="F39" s="2855">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2">
        <f>F21</f>
        <v>0.02</v>
      </c>
      <c r="D40" s="102" t="s">
        <v>1926</v>
      </c>
      <c r="E40" s="99"/>
      <c r="F40" s="2855">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67338</v>
      </c>
      <c r="D41" s="101">
        <f ca="1">C44</f>
        <v>8.9999999999999998E-4</v>
      </c>
      <c r="E41" s="102" t="s">
        <v>1926</v>
      </c>
      <c r="F41" s="285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66018</v>
      </c>
      <c r="D42" s="104"/>
      <c r="E42" s="104"/>
      <c r="F42" s="105"/>
      <c r="G42" s="3553" t="s">
        <v>1928</v>
      </c>
    </row>
    <row r="43" spans="1:123" ht="13.5" customHeight="1">
      <c r="A43" s="92" t="s">
        <v>1868</v>
      </c>
      <c r="B43" s="93" t="s">
        <v>1897</v>
      </c>
      <c r="C43" s="104">
        <f ca="1">ROUND(IF('数据-取费表'!B24&lt;=1,C39*F22*'数据-取费表'!B23/2,C39*(POWER((1+F22),'数据-取费表'!B23/2)-1)),0)</f>
        <v>1320</v>
      </c>
      <c r="D43" s="104"/>
      <c r="E43" s="104"/>
      <c r="F43" s="105"/>
      <c r="G43" s="3554"/>
    </row>
    <row r="44" spans="1:123" ht="13.5" customHeight="1">
      <c r="A44" s="92" t="s">
        <v>1870</v>
      </c>
      <c r="B44" s="93" t="s">
        <v>1899</v>
      </c>
      <c r="C44" s="104">
        <f ca="1">ROUND(IF('数据-取费表'!B24&lt;=1,C40*F22*'数据-取费表'!B23/2,C40*(POWER((1+F22),'数据-取费表'!B23/2)-1)),4)</f>
        <v>8.9999999999999998E-4</v>
      </c>
      <c r="D44" s="104"/>
      <c r="E44" s="104"/>
      <c r="F44" s="105"/>
      <c r="G44" s="3555"/>
    </row>
    <row r="45" spans="1:123" s="91" customFormat="1" ht="13.5" customHeight="1">
      <c r="A45" s="120" t="s">
        <v>1892</v>
      </c>
      <c r="B45" s="110" t="s">
        <v>1904</v>
      </c>
      <c r="C45" s="111">
        <f>C46</f>
        <v>232201</v>
      </c>
      <c r="D45" s="101">
        <f>C47</f>
        <v>3.0000000000000001E-3</v>
      </c>
      <c r="E45" s="102" t="s">
        <v>1926</v>
      </c>
      <c r="F45" s="2856">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232201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2">
        <f>ROUND(F30/(1+'数据-取费表'!F30),4)</f>
        <v>5.33E-2</v>
      </c>
      <c r="D48" s="102" t="s">
        <v>1926</v>
      </c>
      <c r="E48" s="99"/>
      <c r="F48" s="2855">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2002111</v>
      </c>
      <c r="D49" s="99"/>
      <c r="E49" s="99"/>
      <c r="F49" s="126"/>
      <c r="G49" s="100" t="s">
        <v>1936</v>
      </c>
    </row>
    <row r="50" spans="1:123" s="122" customFormat="1" ht="24">
      <c r="A50" s="994" t="s">
        <v>1937</v>
      </c>
      <c r="B50" s="89" t="s">
        <v>1938</v>
      </c>
      <c r="C50" s="99"/>
      <c r="D50" s="99"/>
      <c r="E50" s="99"/>
      <c r="F50" s="126">
        <f>IF('数据-取费表'!B26=0,'数据-取费表'!E20,1)</f>
        <v>0.74</v>
      </c>
      <c r="G50" s="113" t="s">
        <v>1939</v>
      </c>
    </row>
    <row r="51" spans="1:123" ht="16.5" customHeight="1">
      <c r="A51" s="994" t="s">
        <v>1940</v>
      </c>
      <c r="B51" s="89" t="s">
        <v>1941</v>
      </c>
      <c r="C51" s="99">
        <f ca="1">ROUND(C49*F50,0)</f>
        <v>1481562</v>
      </c>
      <c r="D51" s="99"/>
      <c r="E51" s="99"/>
      <c r="F51" s="126"/>
      <c r="G51" s="100" t="s">
        <v>1942</v>
      </c>
    </row>
    <row r="52" spans="1:123" s="88" customFormat="1" ht="16.5" thickBot="1">
      <c r="A52" s="127" t="s">
        <v>1943</v>
      </c>
      <c r="B52" s="128"/>
      <c r="C52" s="129" t="e">
        <f ca="1">C31+C51</f>
        <v>#DIV/0!</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1944</v>
      </c>
      <c r="C55" s="133"/>
    </row>
    <row r="56" spans="1:123">
      <c r="B56" s="135" t="s">
        <v>1945</v>
      </c>
      <c r="C56" s="136" t="e">
        <f ca="1">ROUND(C51/C52,3)</f>
        <v>#DIV/0!</v>
      </c>
    </row>
    <row r="57" spans="1:123">
      <c r="B57" s="135" t="s">
        <v>1946</v>
      </c>
      <c r="C57" s="137" t="e">
        <f ca="1">1-C56</f>
        <v>#DIV/0!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4"/>
      <c r="E1" s="924"/>
      <c r="F1" s="924"/>
      <c r="G1" s="924"/>
      <c r="H1" s="924"/>
      <c r="I1" s="924"/>
      <c r="J1" s="924"/>
      <c r="K1" s="924"/>
    </row>
    <row r="2" spans="1:33" s="139" customFormat="1" ht="18" customHeight="1">
      <c r="A2" s="81" t="s">
        <v>1231</v>
      </c>
      <c r="B2" s="84">
        <f ca="1">IF(C2="元",C32,ROUND(C32/10000,0))</f>
        <v>308</v>
      </c>
      <c r="C2" s="1370" t="str">
        <f>'数据-取费表'!B3</f>
        <v>万元</v>
      </c>
      <c r="D2" s="924"/>
      <c r="E2" s="924"/>
      <c r="F2" s="924"/>
      <c r="G2" s="924"/>
      <c r="H2" s="924"/>
      <c r="I2" s="924"/>
      <c r="J2" s="924"/>
      <c r="K2" s="924"/>
    </row>
    <row r="3" spans="1:33" s="139" customFormat="1" ht="18" customHeight="1" thickBot="1">
      <c r="A3" s="83" t="s">
        <v>1232</v>
      </c>
      <c r="B3" s="84">
        <f ca="1">ROUND(C32/IF(C1="仅计算典型户型",'数据-取费表'!E5,'数据-取费表'!B5),0)</f>
        <v>24568</v>
      </c>
      <c r="C3" s="1370" t="s">
        <v>1233</v>
      </c>
      <c r="D3" s="924"/>
      <c r="E3" s="924"/>
      <c r="F3" s="924"/>
      <c r="G3" s="924"/>
      <c r="H3" s="924"/>
      <c r="I3" s="924"/>
      <c r="J3" s="924"/>
      <c r="K3" s="924"/>
    </row>
    <row r="4" spans="1:33" s="143" customFormat="1" ht="16.5" customHeight="1">
      <c r="A4" s="140" t="s">
        <v>1234</v>
      </c>
      <c r="B4" s="141"/>
      <c r="C4" s="1093">
        <f>SUM(C8:K8)</f>
        <v>4392850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0"/>
      <c r="E6" s="1090"/>
      <c r="F6" s="1090"/>
      <c r="G6" s="1090"/>
      <c r="H6" s="1090"/>
      <c r="I6" s="1090"/>
      <c r="J6" s="1090"/>
      <c r="K6" s="109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125.51</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1" t="s">
        <v>1241</v>
      </c>
      <c r="B8" s="147" t="s">
        <v>1242</v>
      </c>
      <c r="C8" s="610">
        <f>C6*C7</f>
        <v>4392850</v>
      </c>
      <c r="D8" s="1092"/>
      <c r="E8" s="1092"/>
      <c r="F8" s="1090"/>
      <c r="G8" s="1090"/>
      <c r="H8" s="1090"/>
      <c r="I8" s="1090"/>
      <c r="J8" s="1090"/>
      <c r="K8" s="109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439285</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13179</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0.05</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6527</v>
      </c>
      <c r="D14" s="164">
        <f>IF(C1="仅计算典型户型",'数据-取费表'!E5,'数据-取费表'!B5)</f>
        <v>125.51</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6589</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465580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125.51</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-53584</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25102</v>
      </c>
      <c r="D20" s="164">
        <f>IF('数据-取费表'!B10&lt;&gt;"住宅",IF(C1="仅计算典型户型",'数据-取费表'!E5,'数据-取费表'!B5),0)</f>
        <v>125.51</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411996</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8240</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22843</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66462</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66462</v>
      </c>
      <c r="D30" s="193"/>
      <c r="E30" s="206"/>
      <c r="F30" s="203"/>
      <c r="G30" s="147"/>
      <c r="H30" s="170"/>
      <c r="I30" s="170"/>
      <c r="J30" s="170"/>
      <c r="K30" s="171"/>
    </row>
    <row r="31" spans="1:33" s="182" customFormat="1" ht="13.5" customHeight="1" thickBot="1">
      <c r="A31" s="1372" t="s">
        <v>1290</v>
      </c>
      <c r="B31" s="177" t="s">
        <v>1291</v>
      </c>
      <c r="C31" s="207">
        <f>ROUND(C4*F31/(1+'数据-取费表'!F30),0)</f>
        <v>234285</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3083509</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F27" sqref="F27"/>
    </sheetView>
  </sheetViews>
  <sheetFormatPr defaultColWidth="9" defaultRowHeight="12.75"/>
  <cols>
    <col min="1" max="1" width="9.75" style="1593" customWidth="1"/>
    <col min="2" max="2" width="19.25" style="1593" customWidth="1"/>
    <col min="3" max="3" width="12.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2439</v>
      </c>
      <c r="B1" s="2067"/>
      <c r="C1" s="2068" t="s">
        <v>2440</v>
      </c>
      <c r="D1" s="2069">
        <f>SUM(D29:D30,D33:D39)</f>
        <v>393.43</v>
      </c>
      <c r="E1" s="2069"/>
      <c r="F1" s="2069"/>
      <c r="G1" s="2069"/>
      <c r="H1" s="2069"/>
      <c r="I1" s="2069"/>
      <c r="J1" s="2069"/>
      <c r="K1" s="3017"/>
      <c r="L1" s="2070" t="s">
        <v>2441</v>
      </c>
      <c r="M1" s="2071">
        <f>SUMPRODUCT((区片价!B5:B9=I2)*(区片价!C3:F3=E2)*(区片价!C5:F9))</f>
        <v>0</v>
      </c>
      <c r="N1" s="2072">
        <f>SUMPRODUCT((因素修正幅度!B5:B9=I2)*(因素修正幅度!C3:F3=E2)*(因素修正幅度!C5:F9))</f>
        <v>0</v>
      </c>
      <c r="O1" s="3017"/>
      <c r="P1" s="3017"/>
      <c r="Q1" s="3017"/>
      <c r="R1" s="2073" t="s">
        <v>2442</v>
      </c>
      <c r="S1" s="2073" t="s">
        <v>2443</v>
      </c>
      <c r="T1" s="2073" t="s">
        <v>2444</v>
      </c>
      <c r="U1" s="2073" t="s">
        <v>2445</v>
      </c>
      <c r="V1" s="2073" t="s">
        <v>2446</v>
      </c>
      <c r="W1" s="2074"/>
      <c r="X1" s="2074"/>
      <c r="Y1" s="2074"/>
      <c r="Z1" s="2074"/>
      <c r="AA1" s="2074"/>
      <c r="AB1" s="2074"/>
      <c r="AC1" s="2074"/>
      <c r="AD1" s="2075"/>
      <c r="AE1" s="2075"/>
      <c r="AF1" s="2075"/>
      <c r="AG1" s="2075"/>
      <c r="AH1" s="2075"/>
      <c r="AI1" s="2075"/>
      <c r="AJ1" s="2076"/>
    </row>
    <row r="2" spans="1:36" ht="24.75">
      <c r="A2" s="1930" t="s">
        <v>2447</v>
      </c>
      <c r="B2" s="1628" t="e">
        <f>C26</f>
        <v>#DIV/0!</v>
      </c>
      <c r="C2" s="2077" t="s">
        <v>2448</v>
      </c>
      <c r="D2" s="1571" t="s">
        <v>2449</v>
      </c>
      <c r="E2" s="2078" t="s">
        <v>2988</v>
      </c>
      <c r="F2" s="1571" t="s">
        <v>2450</v>
      </c>
      <c r="G2" s="2079">
        <f>项目基本情况!F9</f>
        <v>0</v>
      </c>
      <c r="H2" s="1572" t="s">
        <v>2451</v>
      </c>
      <c r="I2" s="2079">
        <f>项目基本情况!F10</f>
        <v>0</v>
      </c>
      <c r="J2" s="2080"/>
      <c r="K2" s="3017"/>
      <c r="L2" s="2081" t="s">
        <v>2452</v>
      </c>
      <c r="M2" s="2082">
        <f>SUMPRODUCT((区片价!B10:B28=I2)*(区片价!C3:F3=E2)*(区片价!C10:F28))</f>
        <v>0</v>
      </c>
      <c r="N2" s="2083">
        <f>SUMPRODUCT((因素修正幅度!B10:B28=I2)*(因素修正幅度!C3:F3=E2)*(因素修正幅度!C10:F28))</f>
        <v>0</v>
      </c>
      <c r="O2" s="3017"/>
      <c r="P2" s="3017"/>
      <c r="Q2" s="3017"/>
      <c r="R2" s="2073">
        <v>1</v>
      </c>
      <c r="S2" s="2073" t="e">
        <f>ROUND(IF(G3&gt;1,IF(R2&lt;7,SUMPRODUCT((B93:B98=R2)*(C92:N92=G2)*(C93:N98)),SUMIF(C92:N92,G2,C100:N100)),IF(R2&lt;7,SUMPRODUCT((B102:B107=R2)*(C92:N92=G2)*(C102:N107)),SUMIF(C92:N92,G2,C109:N109))),4)</f>
        <v>#DIV/0!</v>
      </c>
      <c r="T2" s="2073" t="e">
        <f>ROUND($C$5*$C$18*$C$19*$C$20*S2*$C$24,0)</f>
        <v>#DIV/0!</v>
      </c>
      <c r="U2" s="2084"/>
      <c r="V2" s="2073" t="e">
        <f>ROUND(T2*U2/10000,0)</f>
        <v>#DIV/0!</v>
      </c>
      <c r="W2" s="2074"/>
      <c r="X2" s="2074"/>
      <c r="Y2" s="2074"/>
      <c r="Z2" s="2074"/>
      <c r="AA2" s="2074"/>
      <c r="AB2" s="2074"/>
      <c r="AC2" s="2074"/>
      <c r="AD2" s="2075"/>
      <c r="AE2" s="2075"/>
      <c r="AF2" s="2075"/>
      <c r="AG2" s="2075"/>
      <c r="AH2" s="2075"/>
      <c r="AI2" s="2075"/>
      <c r="AJ2" s="2076"/>
    </row>
    <row r="3" spans="1:36" ht="15.75">
      <c r="A3" s="1628" t="s">
        <v>2453</v>
      </c>
      <c r="B3" s="1628" t="e">
        <f>ROUND(B2/D1,0)</f>
        <v>#DIV/0!</v>
      </c>
      <c r="C3" s="2077" t="s">
        <v>2454</v>
      </c>
      <c r="D3" s="1571" t="s">
        <v>2455</v>
      </c>
      <c r="E3" s="2078" t="s">
        <v>2991</v>
      </c>
      <c r="F3" s="1573" t="s">
        <v>2456</v>
      </c>
      <c r="G3" s="2085">
        <f>项目基本情况!C15</f>
        <v>0</v>
      </c>
      <c r="H3" s="50" t="s">
        <v>2457</v>
      </c>
      <c r="I3" s="2086"/>
      <c r="J3" s="2080" t="s">
        <v>2458</v>
      </c>
      <c r="K3" s="3017"/>
      <c r="L3" s="2081" t="s">
        <v>2459</v>
      </c>
      <c r="M3" s="2082">
        <f>SUMPRODUCT((区片价!B29:B48=I2)*(区片价!C3:F3=E2)*(区片价!C29:F48))</f>
        <v>0</v>
      </c>
      <c r="N3" s="2083">
        <f>SUMPRODUCT((因素修正幅度!B29:B48=I2)*(因素修正幅度!C3:F3=E2)*(因素修正幅度!C29:F48))</f>
        <v>0</v>
      </c>
      <c r="O3" s="3017"/>
      <c r="P3" s="3017"/>
      <c r="Q3" s="3017"/>
      <c r="R3" s="2073">
        <v>2</v>
      </c>
      <c r="S3" s="2073" t="e">
        <f>ROUND(IF(G3&gt;1,IF(R3&lt;7,SUMPRODUCT((B93:B98=R3)*(C92:N92=G2)*(C93:N98)),SUMIF(C92:N92,G2,C100:N100)),IF(R3&lt;7,SUMPRODUCT((B102:B107=R3)*(C92:N92=G2)*(C102:N107)),SUMIF(C92:N92,G2,C109:N109))),4)</f>
        <v>#DIV/0!</v>
      </c>
      <c r="T3" s="2073" t="e">
        <f t="shared" ref="T3:T16" si="0">ROUND($C$5*$C$18*$C$19*$C$20*S3*$C$24,0)</f>
        <v>#DIV/0!</v>
      </c>
      <c r="U3" s="2084"/>
      <c r="V3" s="2073" t="e">
        <f t="shared" ref="V3:V16" si="1">ROUND(T3*U3/10000,0)</f>
        <v>#DIV/0!</v>
      </c>
      <c r="W3" s="2074"/>
      <c r="X3" s="2074"/>
      <c r="Y3" s="2074"/>
      <c r="Z3" s="2074"/>
      <c r="AA3" s="2074"/>
      <c r="AB3" s="2074"/>
      <c r="AC3" s="2074"/>
      <c r="AD3" s="2075"/>
      <c r="AE3" s="2075"/>
      <c r="AF3" s="2075"/>
      <c r="AG3" s="2075"/>
      <c r="AH3" s="2075"/>
      <c r="AI3" s="2075"/>
      <c r="AJ3" s="2076"/>
    </row>
    <row r="4" spans="1:36" ht="15.75">
      <c r="A4" s="3573"/>
      <c r="B4" s="3574"/>
      <c r="C4" s="3574"/>
      <c r="D4" s="3575"/>
      <c r="E4" s="3575"/>
      <c r="F4" s="3575"/>
      <c r="G4" s="3575"/>
      <c r="H4" s="3575"/>
      <c r="I4" s="3575"/>
      <c r="J4" s="3576"/>
      <c r="K4" s="3017"/>
      <c r="L4" s="2081" t="s">
        <v>2460</v>
      </c>
      <c r="M4" s="2082">
        <f>SUMPRODUCT((区片价!B49:B75=I2)*(区片价!C3:F3=E2)*(区片价!C49:F75))</f>
        <v>0</v>
      </c>
      <c r="N4" s="2083">
        <f>SUMPRODUCT((因素修正幅度!B49:B75=I2)*(因素修正幅度!C3:F3=E2)*(因素修正幅度!C49:F75))</f>
        <v>0</v>
      </c>
      <c r="O4" s="3017"/>
      <c r="P4" s="3017"/>
      <c r="Q4" s="3017"/>
      <c r="R4" s="2073">
        <v>3</v>
      </c>
      <c r="S4" s="2073" t="e">
        <f>ROUND(IF(G3&gt;1,IF(R4&lt;7,SUMPRODUCT((B93:B98=R4)*(C92:N92=G2)*(C93:N98)),SUMIF(C92:N92,G2,C100:N100)),IF(R4&lt;7,SUMPRODUCT((B102:B107=R4)*(C92:N92=G2)*(C102:N107)),SUMIF(C92:N92,G2,C109:N109))),4)</f>
        <v>#DIV/0!</v>
      </c>
      <c r="T4" s="2073" t="e">
        <f t="shared" si="0"/>
        <v>#DIV/0!</v>
      </c>
      <c r="U4" s="2084"/>
      <c r="V4" s="2073" t="e">
        <f t="shared" si="1"/>
        <v>#DIV/0!</v>
      </c>
      <c r="W4" s="2074"/>
      <c r="X4" s="2074"/>
      <c r="Y4" s="2074"/>
      <c r="Z4" s="2074"/>
      <c r="AA4" s="2074"/>
      <c r="AB4" s="2074"/>
      <c r="AC4" s="2074"/>
      <c r="AD4" s="2075"/>
      <c r="AE4" s="2075"/>
      <c r="AF4" s="2075"/>
      <c r="AG4" s="2075"/>
      <c r="AH4" s="2075"/>
      <c r="AI4" s="2075"/>
      <c r="AJ4" s="2076"/>
    </row>
    <row r="5" spans="1:36" s="2094" customFormat="1" ht="15.75" thickBot="1">
      <c r="A5" s="1574" t="s">
        <v>2461</v>
      </c>
      <c r="B5" s="1574" t="s">
        <v>2462</v>
      </c>
      <c r="C5" s="2087" t="e">
        <f>ROUND(IF(E2="商业",C6*C7+C16,(IF(E2="住宅",C6*C12+C16,C6+C16))),0)</f>
        <v>#DIV/0!</v>
      </c>
      <c r="D5" s="2088" t="e">
        <f>ROUND(C6+C16,0)</f>
        <v>#DIV/0!</v>
      </c>
      <c r="E5" s="2088"/>
      <c r="F5" s="2089"/>
      <c r="G5" s="2090"/>
      <c r="H5" s="2090"/>
      <c r="I5" s="2090"/>
      <c r="J5" s="2047"/>
      <c r="K5" s="1636"/>
      <c r="L5" s="2081" t="s">
        <v>2463</v>
      </c>
      <c r="M5" s="2082">
        <f>SUMPRODUCT((区片价!B76:B109=I2)*(区片价!C3:F3=E2)*(区片价!C76:F109))</f>
        <v>0</v>
      </c>
      <c r="N5" s="2083">
        <f>SUMPRODUCT((因素修正幅度!B76:B109=I2)*(因素修正幅度!C3:F3=E2)*(因素修正幅度!C76:F109))</f>
        <v>0</v>
      </c>
      <c r="O5" s="3017"/>
      <c r="P5" s="3017"/>
      <c r="Q5" s="3017"/>
      <c r="R5" s="2073">
        <v>4</v>
      </c>
      <c r="S5" s="2073" t="e">
        <f>ROUND(IF(G3&gt;1,IF(R5&lt;7,SUMPRODUCT((B93:B98=R5)*(C92:N92=G2)*(C93:N98)),SUMIF(C92:N92,G2,C100:N100)),IF(R5&lt;7,SUMPRODUCT((B102:B107=R5)*(C92:N92=G2)*(C102:N107)),SUMIF(C92:N92,G2,C109:N109))),4)</f>
        <v>#DIV/0!</v>
      </c>
      <c r="T5" s="2073" t="e">
        <f t="shared" si="0"/>
        <v>#DIV/0!</v>
      </c>
      <c r="U5" s="2084"/>
      <c r="V5" s="2073" t="e">
        <f t="shared" si="1"/>
        <v>#DIV/0!</v>
      </c>
      <c r="W5" s="2074"/>
      <c r="X5" s="2074"/>
      <c r="Y5" s="2074"/>
      <c r="Z5" s="2074"/>
      <c r="AA5" s="2074"/>
      <c r="AB5" s="2074"/>
      <c r="AC5" s="2091"/>
      <c r="AD5" s="2092"/>
      <c r="AE5" s="2092"/>
      <c r="AF5" s="2092"/>
      <c r="AG5" s="2092"/>
      <c r="AH5" s="2092"/>
      <c r="AI5" s="2092"/>
      <c r="AJ5" s="2093"/>
    </row>
    <row r="6" spans="1:36" ht="15.75" thickBot="1">
      <c r="A6" s="2095">
        <v>1</v>
      </c>
      <c r="B6" s="1575" t="s">
        <v>2464</v>
      </c>
      <c r="C6" s="2096">
        <f>SUMIF(L1:L12,G2,M1:M12)</f>
        <v>0</v>
      </c>
      <c r="D6" s="2097" t="s">
        <v>2465</v>
      </c>
      <c r="E6" s="1575"/>
      <c r="F6" s="1575"/>
      <c r="G6" s="2098"/>
      <c r="H6" s="2098"/>
      <c r="I6" s="2098"/>
      <c r="J6" s="2099"/>
      <c r="K6" s="3018"/>
      <c r="L6" s="2081" t="s">
        <v>2466</v>
      </c>
      <c r="M6" s="2082">
        <f>SUMPRODUCT((区片价!B110:B157=I2)*(区片价!C3:F3=E2)*(区片价!C110:F157))</f>
        <v>0</v>
      </c>
      <c r="N6" s="2083">
        <f>SUMPRODUCT((因素修正幅度!B110:B157=I2)*(因素修正幅度!C3:F3=E2)*(因素修正幅度!C110:F157))</f>
        <v>0</v>
      </c>
      <c r="O6" s="3017"/>
      <c r="P6" s="3017"/>
      <c r="Q6" s="3017"/>
      <c r="R6" s="2073">
        <v>5</v>
      </c>
      <c r="S6" s="2073" t="e">
        <f>ROUND(IF(G3&gt;1,IF(R6&lt;7,SUMPRODUCT((B93:B98=R6)*(C92:N92=G2)*(C93:N98)),SUMIF(C92:N92,G2,C100:N100)),IF(R6&lt;7,SUMPRODUCT((B102:B107=R6)*(C92:N92=G2)*(C102:N107)),SUMIF(C92:N92,G2,C109:N109))),4)</f>
        <v>#DIV/0!</v>
      </c>
      <c r="T6" s="2073" t="e">
        <f t="shared" si="0"/>
        <v>#DIV/0!</v>
      </c>
      <c r="U6" s="2084"/>
      <c r="V6" s="2073" t="e">
        <f t="shared" si="1"/>
        <v>#DIV/0!</v>
      </c>
      <c r="W6" s="2074"/>
      <c r="X6" s="2074"/>
      <c r="Y6" s="2074"/>
      <c r="Z6" s="2074"/>
      <c r="AA6" s="2074"/>
      <c r="AB6" s="2074"/>
      <c r="AC6" s="2091"/>
      <c r="AD6" s="2092"/>
      <c r="AE6" s="2092"/>
      <c r="AF6" s="2092"/>
      <c r="AG6" s="2092"/>
      <c r="AH6" s="2092"/>
      <c r="AI6" s="2092"/>
      <c r="AJ6" s="2093"/>
    </row>
    <row r="7" spans="1:36" ht="24">
      <c r="A7" s="3577" t="str">
        <f>IF(E2="商业",IF(C8="不临58条商业街","",2),"")</f>
        <v/>
      </c>
      <c r="B7" s="1576" t="s">
        <v>2467</v>
      </c>
      <c r="C7" s="2100" t="e">
        <f>IF(C8="不临58条商业街",1,ROUND(1+(1.6*E8+1.2*E9+0.8*E10+0.4*E11)*C9,4))</f>
        <v>#DIV/0!</v>
      </c>
      <c r="D7" s="2101" t="s">
        <v>2468</v>
      </c>
      <c r="E7" s="2102"/>
      <c r="F7" s="2103"/>
      <c r="G7" s="2103"/>
      <c r="H7" s="2103"/>
      <c r="I7" s="2103"/>
      <c r="J7" s="2104"/>
      <c r="K7" s="3018"/>
      <c r="L7" s="2081" t="s">
        <v>2469</v>
      </c>
      <c r="M7" s="2082">
        <f>SUMPRODUCT((区片价!B158:B205=I2)*(区片价!C3:F3=E2)*(区片价!C158:F205))</f>
        <v>0</v>
      </c>
      <c r="N7" s="2083">
        <f>SUMPRODUCT((因素修正幅度!B158:B205=I2)*(因素修正幅度!C3:F3=E2)*(因素修正幅度!C158:F205))</f>
        <v>0</v>
      </c>
      <c r="O7" s="3017"/>
      <c r="P7" s="3017"/>
      <c r="Q7" s="3017"/>
      <c r="R7" s="2073">
        <v>6</v>
      </c>
      <c r="S7" s="2073" t="e">
        <f>ROUND(IF(G3&gt;1,IF(R7&lt;7,SUMPRODUCT((B93:B98=R7)*(C92:N92=G2)*(C93:N98)),SUMIF(C92:N92,G2,C100:N100)),IF(R7&lt;7,SUMPRODUCT((B102:B107=R7)*(C92:N92=G2)*(C102:N107)),SUMIF(C92:N92,G2,C109:N109))),4)</f>
        <v>#DIV/0!</v>
      </c>
      <c r="T7" s="2073" t="e">
        <f t="shared" si="0"/>
        <v>#DIV/0!</v>
      </c>
      <c r="U7" s="2084"/>
      <c r="V7" s="2073" t="e">
        <f t="shared" si="1"/>
        <v>#DIV/0!</v>
      </c>
      <c r="W7" s="2105" t="s">
        <v>2470</v>
      </c>
      <c r="X7" s="2106">
        <f>G2</f>
        <v>0</v>
      </c>
      <c r="Y7" s="2106" t="s">
        <v>2471</v>
      </c>
      <c r="Z7" s="2107">
        <f>G3</f>
        <v>0</v>
      </c>
      <c r="AA7" s="2074"/>
      <c r="AB7" s="2074"/>
      <c r="AC7" s="2074"/>
      <c r="AD7" s="2075"/>
      <c r="AE7" s="2075"/>
      <c r="AF7" s="2075"/>
      <c r="AG7" s="2075"/>
      <c r="AH7" s="2075"/>
      <c r="AI7" s="2075"/>
      <c r="AJ7" s="2076"/>
    </row>
    <row r="8" spans="1:36" ht="15">
      <c r="A8" s="3578"/>
      <c r="B8" s="50" t="s">
        <v>2472</v>
      </c>
      <c r="C8" s="2108"/>
      <c r="D8" s="65" t="s">
        <v>89</v>
      </c>
      <c r="E8" s="2109" t="e">
        <f>ROUND(C11/E7,4)</f>
        <v>#DIV/0!</v>
      </c>
      <c r="F8" s="2110" t="s">
        <v>2473</v>
      </c>
      <c r="G8" s="2111"/>
      <c r="H8" s="2111"/>
      <c r="I8" s="2111"/>
      <c r="J8" s="2112"/>
      <c r="K8" s="3017"/>
      <c r="L8" s="2081" t="s">
        <v>2474</v>
      </c>
      <c r="M8" s="2082">
        <f>SUMPRODUCT((区片价!B206:B244=I2)*(区片价!C3:F3=E2)*(区片价!C206:F244))</f>
        <v>0</v>
      </c>
      <c r="N8" s="2083">
        <f>SUMPRODUCT((因素修正幅度!B206:B244=I2)*(因素修正幅度!C3:F3=E2)*(因素修正幅度!C206:F244))</f>
        <v>0</v>
      </c>
      <c r="O8" s="3017"/>
      <c r="P8" s="3017"/>
      <c r="Q8" s="3017"/>
      <c r="R8" s="2073">
        <v>7</v>
      </c>
      <c r="S8" s="2084"/>
      <c r="T8" s="2073" t="e">
        <f t="shared" si="0"/>
        <v>#DIV/0!</v>
      </c>
      <c r="U8" s="2084"/>
      <c r="V8" s="2073" t="e">
        <f t="shared" si="1"/>
        <v>#DIV/0!</v>
      </c>
      <c r="W8" s="3571" t="s">
        <v>2475</v>
      </c>
      <c r="X8" s="3572"/>
      <c r="Y8" s="2113" t="s">
        <v>2476</v>
      </c>
      <c r="Z8" s="2113" t="s">
        <v>2477</v>
      </c>
      <c r="AA8" s="2113" t="s">
        <v>2478</v>
      </c>
      <c r="AB8" s="2113" t="s">
        <v>2479</v>
      </c>
      <c r="AC8" s="2113" t="s">
        <v>2480</v>
      </c>
      <c r="AD8" s="2113" t="s">
        <v>2481</v>
      </c>
      <c r="AE8" s="2113" t="s">
        <v>2482</v>
      </c>
      <c r="AF8" s="2113" t="s">
        <v>2483</v>
      </c>
      <c r="AG8" s="2113" t="s">
        <v>2484</v>
      </c>
      <c r="AH8" s="2113" t="s">
        <v>2485</v>
      </c>
      <c r="AI8" s="2113" t="s">
        <v>2486</v>
      </c>
      <c r="AJ8" s="2113" t="s">
        <v>2487</v>
      </c>
    </row>
    <row r="9" spans="1:36" ht="15">
      <c r="A9" s="3578"/>
      <c r="B9" s="50" t="s">
        <v>2488</v>
      </c>
      <c r="C9" s="2114">
        <f>SUMIF(修正!C59:C119,C8,修正!E59:E119)</f>
        <v>0</v>
      </c>
      <c r="D9" s="50" t="s">
        <v>90</v>
      </c>
      <c r="E9" s="50" t="e">
        <f>ROUND(C11/E7,4)</f>
        <v>#DIV/0!</v>
      </c>
      <c r="F9" s="2110" t="s">
        <v>2489</v>
      </c>
      <c r="G9" s="2111"/>
      <c r="H9" s="2111"/>
      <c r="I9" s="2111"/>
      <c r="J9" s="2112"/>
      <c r="K9" s="3017"/>
      <c r="L9" s="2081" t="s">
        <v>2490</v>
      </c>
      <c r="M9" s="2082">
        <f>SUMPRODUCT((区片价!B245:B289=I2)*(区片价!C3:F3=E2)*(区片价!C245:F289))</f>
        <v>0</v>
      </c>
      <c r="N9" s="2083">
        <f>SUMPRODUCT((因素修正幅度!B245:B289=I2)*(因素修正幅度!C3:F3=E2)*(因素修正幅度!C245:F289))</f>
        <v>0</v>
      </c>
      <c r="O9" s="3017"/>
      <c r="P9" s="3017"/>
      <c r="Q9" s="3017"/>
      <c r="R9" s="2073">
        <v>8</v>
      </c>
      <c r="S9" s="2084"/>
      <c r="T9" s="2073" t="e">
        <f t="shared" si="0"/>
        <v>#DIV/0!</v>
      </c>
      <c r="U9" s="2084"/>
      <c r="V9" s="2073" t="e">
        <f t="shared" si="1"/>
        <v>#DIV/0!</v>
      </c>
      <c r="W9" s="3572" t="s">
        <v>2491</v>
      </c>
      <c r="X9" s="2115" t="s">
        <v>2492</v>
      </c>
      <c r="Y9" s="2116"/>
      <c r="Z9" s="2117">
        <f>$Y$9</f>
        <v>0</v>
      </c>
      <c r="AA9" s="2117">
        <f t="shared" ref="AA9:AJ9" si="2">$Y$9</f>
        <v>0</v>
      </c>
      <c r="AB9" s="2117">
        <f t="shared" si="2"/>
        <v>0</v>
      </c>
      <c r="AC9" s="2117">
        <f t="shared" si="2"/>
        <v>0</v>
      </c>
      <c r="AD9" s="2117">
        <f t="shared" si="2"/>
        <v>0</v>
      </c>
      <c r="AE9" s="2117">
        <f t="shared" si="2"/>
        <v>0</v>
      </c>
      <c r="AF9" s="2117">
        <f t="shared" si="2"/>
        <v>0</v>
      </c>
      <c r="AG9" s="2117">
        <f t="shared" si="2"/>
        <v>0</v>
      </c>
      <c r="AH9" s="2117">
        <f t="shared" si="2"/>
        <v>0</v>
      </c>
      <c r="AI9" s="2117">
        <f t="shared" si="2"/>
        <v>0</v>
      </c>
      <c r="AJ9" s="2117">
        <f t="shared" si="2"/>
        <v>0</v>
      </c>
    </row>
    <row r="10" spans="1:36" ht="15">
      <c r="A10" s="3578"/>
      <c r="B10" s="50" t="s">
        <v>2493</v>
      </c>
      <c r="C10" s="50">
        <f>SUMIF(修正!C59:C119,C8,修正!F59:F119)</f>
        <v>0</v>
      </c>
      <c r="D10" s="50" t="s">
        <v>91</v>
      </c>
      <c r="E10" s="50" t="e">
        <f>ROUND(C11/E7,4)</f>
        <v>#DIV/0!</v>
      </c>
      <c r="F10" s="2110" t="s">
        <v>2494</v>
      </c>
      <c r="G10" s="2111"/>
      <c r="H10" s="2111"/>
      <c r="I10" s="2111"/>
      <c r="J10" s="2112"/>
      <c r="K10" s="3017"/>
      <c r="L10" s="2081" t="s">
        <v>2495</v>
      </c>
      <c r="M10" s="2082">
        <f>SUMPRODUCT((区片价!B290:B316=I2)*(区片价!C3:F3=E2)*(区片价!C290:F316))</f>
        <v>0</v>
      </c>
      <c r="N10" s="2083">
        <f>SUMPRODUCT((因素修正幅度!B290:B316=I2)*(因素修正幅度!C3:F3=E2)*(因素修正幅度!C290:F316))</f>
        <v>0</v>
      </c>
      <c r="O10" s="3017"/>
      <c r="P10" s="3017"/>
      <c r="Q10" s="3017"/>
      <c r="R10" s="2073">
        <v>9</v>
      </c>
      <c r="S10" s="2084"/>
      <c r="T10" s="2073" t="e">
        <f t="shared" si="0"/>
        <v>#DIV/0!</v>
      </c>
      <c r="U10" s="2084"/>
      <c r="V10" s="2073" t="e">
        <f t="shared" si="1"/>
        <v>#DIV/0!</v>
      </c>
      <c r="W10" s="3572"/>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578"/>
      <c r="B11" s="1577" t="s">
        <v>2496</v>
      </c>
      <c r="C11" s="1577">
        <f>C10/4</f>
        <v>0</v>
      </c>
      <c r="D11" s="1577" t="s">
        <v>92</v>
      </c>
      <c r="E11" s="1577" t="e">
        <f>ROUND(C11/E7,4)</f>
        <v>#DIV/0!</v>
      </c>
      <c r="F11" s="2119" t="s">
        <v>2497</v>
      </c>
      <c r="G11" s="2120"/>
      <c r="H11" s="2120"/>
      <c r="I11" s="2120"/>
      <c r="J11" s="2121"/>
      <c r="K11" s="3017"/>
      <c r="L11" s="2081" t="s">
        <v>2498</v>
      </c>
      <c r="M11" s="2082">
        <f>SUMPRODUCT((区片价!B317:B337=I2)*(区片价!C3:F3=E2)*(区片价!C317:F337))</f>
        <v>0</v>
      </c>
      <c r="N11" s="2083">
        <f>SUMPRODUCT((因素修正幅度!B317:B337=I2)*(因素修正幅度!C3:F3=E2)*(因素修正幅度!C317:F337))</f>
        <v>0</v>
      </c>
      <c r="O11" s="3017"/>
      <c r="P11" s="3017"/>
      <c r="Q11" s="3017"/>
      <c r="R11" s="2073">
        <v>10</v>
      </c>
      <c r="S11" s="2084"/>
      <c r="T11" s="2073" t="e">
        <f t="shared" si="0"/>
        <v>#DIV/0!</v>
      </c>
      <c r="U11" s="2084"/>
      <c r="V11" s="2073" t="e">
        <f t="shared" si="1"/>
        <v>#DIV/0!</v>
      </c>
      <c r="W11" s="3572" t="s">
        <v>2499</v>
      </c>
      <c r="X11" s="2122" t="s">
        <v>2500</v>
      </c>
      <c r="Y11" s="2123">
        <f>$G$3</f>
        <v>0</v>
      </c>
      <c r="Z11" s="2123">
        <f t="shared" ref="Z11:AJ11" si="3">$G$3</f>
        <v>0</v>
      </c>
      <c r="AA11" s="2123">
        <f t="shared" si="3"/>
        <v>0</v>
      </c>
      <c r="AB11" s="2123">
        <f t="shared" si="3"/>
        <v>0</v>
      </c>
      <c r="AC11" s="2123">
        <f t="shared" si="3"/>
        <v>0</v>
      </c>
      <c r="AD11" s="2123">
        <f t="shared" si="3"/>
        <v>0</v>
      </c>
      <c r="AE11" s="2123">
        <f t="shared" si="3"/>
        <v>0</v>
      </c>
      <c r="AF11" s="2123">
        <f t="shared" si="3"/>
        <v>0</v>
      </c>
      <c r="AG11" s="2123">
        <f t="shared" si="3"/>
        <v>0</v>
      </c>
      <c r="AH11" s="2123">
        <f t="shared" si="3"/>
        <v>0</v>
      </c>
      <c r="AI11" s="2123">
        <f t="shared" si="3"/>
        <v>0</v>
      </c>
      <c r="AJ11" s="2123">
        <f t="shared" si="3"/>
        <v>0</v>
      </c>
    </row>
    <row r="12" spans="1:36" ht="25.5" thickBot="1">
      <c r="A12" s="3577" t="str">
        <f>IF(E2="住宅",2,"")</f>
        <v/>
      </c>
      <c r="B12" s="1578" t="s">
        <v>2501</v>
      </c>
      <c r="C12" s="2100">
        <f>ROUND(C15*D15*E15*F15*G15*H15*I15*J15,4)</f>
        <v>1.32</v>
      </c>
      <c r="D12" s="2124" t="s">
        <v>2502</v>
      </c>
      <c r="E12" s="2125"/>
      <c r="F12" s="2125"/>
      <c r="G12" s="2125"/>
      <c r="H12" s="2125"/>
      <c r="I12" s="2125"/>
      <c r="J12" s="2126"/>
      <c r="K12" s="3017"/>
      <c r="L12" s="2127" t="s">
        <v>2503</v>
      </c>
      <c r="M12" s="2128">
        <f>SUMPRODUCT((区片价!B338:B344=I2)*(区片价!C3:F3=E2)*(区片价!C338:F344))</f>
        <v>0</v>
      </c>
      <c r="N12" s="2129">
        <f>SUMPRODUCT((因素修正幅度!B338:B344=I2)*(因素修正幅度!C3:F3=E2)*(因素修正幅度!C338:F344))</f>
        <v>0</v>
      </c>
      <c r="O12" s="3017"/>
      <c r="P12" s="3017"/>
      <c r="Q12" s="3017"/>
      <c r="R12" s="2073">
        <v>11</v>
      </c>
      <c r="S12" s="2084"/>
      <c r="T12" s="2073" t="e">
        <f t="shared" si="0"/>
        <v>#DIV/0!</v>
      </c>
      <c r="U12" s="2084"/>
      <c r="V12" s="2073" t="e">
        <f t="shared" si="1"/>
        <v>#DIV/0!</v>
      </c>
      <c r="W12" s="3572"/>
      <c r="X12" s="2130" t="s">
        <v>2504</v>
      </c>
      <c r="Y12" s="2117">
        <f t="shared" ref="Y12:AJ12" si="4">Y9</f>
        <v>0</v>
      </c>
      <c r="Z12" s="2117">
        <f t="shared" si="4"/>
        <v>0</v>
      </c>
      <c r="AA12" s="2117">
        <f t="shared" si="4"/>
        <v>0</v>
      </c>
      <c r="AB12" s="2117">
        <f t="shared" si="4"/>
        <v>0</v>
      </c>
      <c r="AC12" s="2117">
        <f t="shared" si="4"/>
        <v>0</v>
      </c>
      <c r="AD12" s="2117">
        <f t="shared" si="4"/>
        <v>0</v>
      </c>
      <c r="AE12" s="2117">
        <f t="shared" si="4"/>
        <v>0</v>
      </c>
      <c r="AF12" s="2117">
        <f t="shared" si="4"/>
        <v>0</v>
      </c>
      <c r="AG12" s="2117">
        <f t="shared" si="4"/>
        <v>0</v>
      </c>
      <c r="AH12" s="2117">
        <f t="shared" si="4"/>
        <v>0</v>
      </c>
      <c r="AI12" s="2117">
        <f t="shared" si="4"/>
        <v>0</v>
      </c>
      <c r="AJ12" s="2117">
        <f t="shared" si="4"/>
        <v>0</v>
      </c>
    </row>
    <row r="13" spans="1:36" ht="24">
      <c r="A13" s="3579"/>
      <c r="B13" s="1579" t="s">
        <v>2505</v>
      </c>
      <c r="C13" s="2131" t="s">
        <v>2506</v>
      </c>
      <c r="D13" s="1580" t="s">
        <v>2507</v>
      </c>
      <c r="E13" s="1580" t="s">
        <v>2508</v>
      </c>
      <c r="F13" s="264" t="s">
        <v>2509</v>
      </c>
      <c r="G13" s="2132" t="s">
        <v>2510</v>
      </c>
      <c r="H13" s="2132" t="s">
        <v>2510</v>
      </c>
      <c r="I13" s="2132" t="s">
        <v>2510</v>
      </c>
      <c r="J13" s="2133" t="s">
        <v>2510</v>
      </c>
      <c r="K13" s="3017"/>
      <c r="L13" s="3017"/>
      <c r="M13" s="3017"/>
      <c r="N13" s="3017"/>
      <c r="O13" s="3017"/>
      <c r="P13" s="3017"/>
      <c r="Q13" s="3017"/>
      <c r="R13" s="2073">
        <v>12</v>
      </c>
      <c r="S13" s="2084"/>
      <c r="T13" s="2073" t="e">
        <f t="shared" si="0"/>
        <v>#DIV/0!</v>
      </c>
      <c r="U13" s="2084"/>
      <c r="V13" s="2073" t="e">
        <f t="shared" si="1"/>
        <v>#DIV/0!</v>
      </c>
      <c r="W13" s="3572"/>
      <c r="X13" s="2130"/>
      <c r="Y13" s="2118" t="e">
        <f>(-0.163*(Y12^2)-0.59*Y12+7617)*(10^(-4))/Y11</f>
        <v>#DIV/0!</v>
      </c>
      <c r="Z13" s="2118" t="e">
        <f t="shared" ref="Z13:AJ13" si="5">(-0.163*(Z12^2)-0.59*Z12+7617)*(10^(-4))/Z11</f>
        <v>#DIV/0!</v>
      </c>
      <c r="AA13" s="2118" t="e">
        <f t="shared" si="5"/>
        <v>#DIV/0!</v>
      </c>
      <c r="AB13" s="2118" t="e">
        <f t="shared" si="5"/>
        <v>#DIV/0!</v>
      </c>
      <c r="AC13" s="2118" t="e">
        <f t="shared" si="5"/>
        <v>#DIV/0!</v>
      </c>
      <c r="AD13" s="2118" t="e">
        <f t="shared" si="5"/>
        <v>#DIV/0!</v>
      </c>
      <c r="AE13" s="2118" t="e">
        <f t="shared" si="5"/>
        <v>#DIV/0!</v>
      </c>
      <c r="AF13" s="2118" t="e">
        <f t="shared" si="5"/>
        <v>#DIV/0!</v>
      </c>
      <c r="AG13" s="2118" t="e">
        <f t="shared" si="5"/>
        <v>#DIV/0!</v>
      </c>
      <c r="AH13" s="2118" t="e">
        <f t="shared" si="5"/>
        <v>#DIV/0!</v>
      </c>
      <c r="AI13" s="2118" t="e">
        <f t="shared" si="5"/>
        <v>#DIV/0!</v>
      </c>
      <c r="AJ13" s="2118" t="e">
        <f t="shared" si="5"/>
        <v>#DIV/0!</v>
      </c>
    </row>
    <row r="14" spans="1:36" ht="15">
      <c r="A14" s="3579"/>
      <c r="B14" s="1580"/>
      <c r="C14" s="2134" t="s">
        <v>2511</v>
      </c>
      <c r="D14" s="2135" t="s">
        <v>2512</v>
      </c>
      <c r="E14" s="2135" t="s">
        <v>2512</v>
      </c>
      <c r="F14" s="2136" t="s">
        <v>2513</v>
      </c>
      <c r="G14" s="2137" t="s">
        <v>2514</v>
      </c>
      <c r="H14" s="2138"/>
      <c r="I14" s="2139"/>
      <c r="J14" s="2140"/>
      <c r="K14" s="3017"/>
      <c r="L14" s="3017"/>
      <c r="M14" s="3017"/>
      <c r="N14" s="3017"/>
      <c r="O14" s="3017"/>
      <c r="P14" s="3017"/>
      <c r="Q14" s="3017"/>
      <c r="R14" s="2073">
        <v>13</v>
      </c>
      <c r="S14" s="2084"/>
      <c r="T14" s="2073" t="e">
        <f t="shared" si="0"/>
        <v>#DIV/0!</v>
      </c>
      <c r="U14" s="2084"/>
      <c r="V14" s="2073" t="e">
        <f t="shared" si="1"/>
        <v>#DIV/0!</v>
      </c>
      <c r="W14" s="2074"/>
      <c r="X14" s="2074"/>
      <c r="Y14" s="2074"/>
      <c r="Z14" s="2074"/>
      <c r="AA14" s="2074"/>
      <c r="AB14" s="2074"/>
      <c r="AC14" s="2074"/>
      <c r="AD14" s="2075"/>
      <c r="AE14" s="2075"/>
      <c r="AF14" s="2075"/>
      <c r="AG14" s="2075"/>
      <c r="AH14" s="2075"/>
      <c r="AI14" s="2075"/>
      <c r="AJ14" s="2076"/>
    </row>
    <row r="15" spans="1:36" ht="15.75" thickBot="1">
      <c r="A15" s="3580"/>
      <c r="B15" s="1581" t="s">
        <v>2515</v>
      </c>
      <c r="C15" s="2141">
        <f>IF(C14="有",1.1,1)</f>
        <v>1.1000000000000001</v>
      </c>
      <c r="D15" s="2141">
        <f>IF(D14="有",1.1,1)</f>
        <v>1</v>
      </c>
      <c r="E15" s="2141">
        <f>IF(E14="有",1.1,1)</f>
        <v>1</v>
      </c>
      <c r="F15" s="2141">
        <f>IF(F14="500米范围内",1.2,IF(F14="500-1000米",1.1,1))</f>
        <v>1.2</v>
      </c>
      <c r="G15" s="2142">
        <v>1</v>
      </c>
      <c r="H15" s="2142">
        <v>1</v>
      </c>
      <c r="I15" s="2142">
        <v>1</v>
      </c>
      <c r="J15" s="2143">
        <v>1</v>
      </c>
      <c r="K15" s="3017"/>
      <c r="L15" s="3017"/>
      <c r="M15" s="3017"/>
      <c r="N15" s="3017"/>
      <c r="O15" s="3017"/>
      <c r="P15" s="3017"/>
      <c r="Q15" s="3017"/>
      <c r="R15" s="2073">
        <v>14</v>
      </c>
      <c r="S15" s="2084"/>
      <c r="T15" s="2073" t="e">
        <f t="shared" si="0"/>
        <v>#DIV/0!</v>
      </c>
      <c r="U15" s="2084"/>
      <c r="V15" s="2073" t="e">
        <f t="shared" si="1"/>
        <v>#DIV/0!</v>
      </c>
      <c r="W15" s="2074"/>
      <c r="X15" s="2074"/>
      <c r="Y15" s="2074"/>
      <c r="Z15" s="2074"/>
      <c r="AA15" s="2074"/>
      <c r="AB15" s="2074"/>
      <c r="AC15" s="2074"/>
      <c r="AD15" s="2075"/>
      <c r="AE15" s="2075"/>
      <c r="AF15" s="2075"/>
      <c r="AG15" s="2075"/>
      <c r="AH15" s="2075"/>
      <c r="AI15" s="2075"/>
      <c r="AJ15" s="2076"/>
    </row>
    <row r="16" spans="1:36" ht="24.6" customHeight="1">
      <c r="A16" s="3556">
        <f>IF(E2="办公",2,IF(E2="工业",2,IF(E2="住宅",3,IF(E2="商业",IF(C8="不临58条商业街",2,3)))))</f>
        <v>2</v>
      </c>
      <c r="B16" s="1600" t="s">
        <v>2521</v>
      </c>
      <c r="C16" s="1576" t="e">
        <f>ROUND(IF(F17="与级别开发程度一致",0,(G17-E17)/C17),0)</f>
        <v>#DIV/0!</v>
      </c>
      <c r="D16" s="3569" t="s">
        <v>2525</v>
      </c>
      <c r="E16" s="3570"/>
      <c r="F16" s="3569" t="s">
        <v>2522</v>
      </c>
      <c r="G16" s="3570"/>
      <c r="H16" s="2144" t="s">
        <v>2992</v>
      </c>
      <c r="I16" s="2144" t="s">
        <v>2993</v>
      </c>
      <c r="J16" s="2145" t="s">
        <v>2994</v>
      </c>
      <c r="K16" s="2144" t="s">
        <v>2995</v>
      </c>
      <c r="L16" s="2144" t="s">
        <v>2996</v>
      </c>
      <c r="M16" s="2144" t="s">
        <v>2997</v>
      </c>
      <c r="N16" s="2144"/>
      <c r="O16" s="2146"/>
      <c r="P16" s="3017"/>
      <c r="Q16" s="3017"/>
      <c r="R16" s="2073">
        <v>15</v>
      </c>
      <c r="S16" s="2084"/>
      <c r="T16" s="2073" t="e">
        <f t="shared" si="0"/>
        <v>#DIV/0!</v>
      </c>
      <c r="U16" s="2084"/>
      <c r="V16" s="2073" t="e">
        <f t="shared" si="1"/>
        <v>#DIV/0!</v>
      </c>
      <c r="W16" s="2074"/>
      <c r="X16" s="2074"/>
      <c r="Y16" s="2074"/>
      <c r="Z16" s="2074"/>
      <c r="AA16" s="2074"/>
      <c r="AB16" s="2074"/>
      <c r="AC16" s="2074"/>
      <c r="AD16" s="2075"/>
      <c r="AE16" s="2075"/>
      <c r="AF16" s="2075"/>
      <c r="AG16" s="2075"/>
      <c r="AH16" s="2075"/>
      <c r="AI16" s="2075"/>
      <c r="AJ16" s="2076"/>
    </row>
    <row r="17" spans="1:35" ht="26.25" thickBot="1">
      <c r="A17" s="3557"/>
      <c r="B17" s="1601" t="s">
        <v>2524</v>
      </c>
      <c r="C17" s="2147">
        <f>SUMPRODUCT((修正!A2:A5=E2)*(修正!B1:M1=G2)*(修正!B2:M5))</f>
        <v>0</v>
      </c>
      <c r="D17" s="2141" t="str">
        <f>IF(OR(G2="八级",G2="九级",G2="十级",G2="十一级",G2="十二级"),"五通一平","七通一平")</f>
        <v>七通一平</v>
      </c>
      <c r="E17" s="2148">
        <f>SUMPRODUCT((修正!B1:M1=G2)*(修正!B15:M15))</f>
        <v>0</v>
      </c>
      <c r="F17" s="2149" t="s">
        <v>2998</v>
      </c>
      <c r="G17" s="1590">
        <f>SUM(H17:O17)</f>
        <v>0</v>
      </c>
      <c r="H17" s="2147">
        <f>SUMPRODUCT((七通一平=H16)*(修正!B1:M1=G2)*(修正!B6:M14))</f>
        <v>0</v>
      </c>
      <c r="I17" s="2147">
        <f>SUMPRODUCT((七通一平=I16)*(修正!B1:M1=G2)*(修正!B6:M14))</f>
        <v>0</v>
      </c>
      <c r="J17" s="2150">
        <f>SUMPRODUCT((七通一平=J16)*(修正!B1:M1=G2)*(修正!B6:M14))</f>
        <v>0</v>
      </c>
      <c r="K17" s="2147">
        <f>SUMPRODUCT((七通一平=K16)*(修正!B1:M1=G2)*(修正!B6:M14))</f>
        <v>0</v>
      </c>
      <c r="L17" s="2147">
        <f>SUMPRODUCT((七通一平=L16)*(修正!B1:M1=G2)*(修正!B6:M14))</f>
        <v>0</v>
      </c>
      <c r="M17" s="2147">
        <f>SUMPRODUCT((七通一平=M16)*(修正!B1:M1=G2)*(修正!B6:M14))</f>
        <v>0</v>
      </c>
      <c r="N17" s="2147">
        <f>SUMPRODUCT((七通一平=N16)*(修正!B1:M1=G2)*(修正!B6:M14))</f>
        <v>0</v>
      </c>
      <c r="O17" s="2151">
        <f>SUMPRODUCT((七通一平=O16)*(修正!B1:M1=G2)*(修正!B6:M14))</f>
        <v>0</v>
      </c>
      <c r="P17" s="3017"/>
      <c r="Q17" s="3017"/>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2527</v>
      </c>
      <c r="B18" s="1599" t="s">
        <v>2528</v>
      </c>
      <c r="C18" s="2153">
        <f>SUMIF(修正!C18:C39,E3,修正!E18:E39)</f>
        <v>1</v>
      </c>
      <c r="D18" s="2154"/>
      <c r="E18" s="2155"/>
      <c r="F18" s="2155"/>
      <c r="G18" s="2155"/>
      <c r="H18" s="2155"/>
      <c r="I18" s="2155"/>
      <c r="J18" s="2156"/>
      <c r="K18" s="3019"/>
      <c r="L18" s="3019"/>
      <c r="M18" s="3019"/>
      <c r="N18" s="3019"/>
      <c r="O18" s="3017"/>
      <c r="P18" s="3017"/>
      <c r="Q18" s="3017"/>
      <c r="R18" s="3017"/>
      <c r="S18" s="3017"/>
      <c r="T18" s="3017"/>
      <c r="U18" s="3017"/>
      <c r="V18" s="3017"/>
      <c r="W18" s="3017"/>
      <c r="X18" s="1592"/>
      <c r="Y18" s="1592"/>
      <c r="Z18" s="1592"/>
      <c r="AA18" s="1592"/>
      <c r="AB18" s="1592"/>
      <c r="AC18" s="1592"/>
      <c r="AD18" s="1592"/>
      <c r="AE18" s="1592"/>
      <c r="AF18" s="1592"/>
      <c r="AG18" s="1593"/>
      <c r="AH18" s="1593"/>
      <c r="AI18" s="1593"/>
    </row>
    <row r="19" spans="1:35" s="2094" customFormat="1" ht="29.25" thickBot="1">
      <c r="A19" s="2152" t="s">
        <v>2529</v>
      </c>
      <c r="B19" s="1582" t="s">
        <v>2530</v>
      </c>
      <c r="C19" s="2158">
        <f>ROUND(IF(H19="按公示增长率计算",SUMPRODUCT((地价!A3:A36=YEAR(G19)&amp;"-"&amp;ROUNDUP(MONTH(G19)/3,0))*(地价!X2:AB2=E2)*(地价!X3:AB36)),IF(H19="地价指数",M20/M19,(1+I19)^O19)),4)</f>
        <v>1.4529000000000001</v>
      </c>
      <c r="D19" s="2159" t="s">
        <v>2531</v>
      </c>
      <c r="E19" s="2160">
        <v>41640</v>
      </c>
      <c r="F19" s="2159" t="s">
        <v>2532</v>
      </c>
      <c r="G19" s="2161">
        <f>'数据-取费表'!B2</f>
        <v>44561</v>
      </c>
      <c r="H19" s="2162" t="s">
        <v>2668</v>
      </c>
      <c r="I19" s="2163" t="str">
        <f>IF(H19="季度增幅（自定义）",SUMIF(N21:N24,E2,O21:O24),"")</f>
        <v/>
      </c>
      <c r="J19" s="2164"/>
      <c r="K19" s="3019"/>
      <c r="L19" s="2045" t="s">
        <v>2533</v>
      </c>
      <c r="M19" s="2165">
        <f>ROUND(SUMIF(地价!B2:F2,E2,地价!B36:F36),0)</f>
        <v>230</v>
      </c>
      <c r="N19" s="2166" t="s">
        <v>2534</v>
      </c>
      <c r="O19" s="2167">
        <f>ROUNDDOWN(DATEDIF(E19,G19,"M")/3,0)</f>
        <v>31</v>
      </c>
      <c r="P19" s="3017"/>
      <c r="Q19" s="3019"/>
      <c r="R19" s="3017"/>
      <c r="S19" s="3017"/>
      <c r="T19" s="3017"/>
      <c r="U19" s="3017"/>
      <c r="V19" s="3017"/>
      <c r="W19" s="3017"/>
      <c r="X19" s="1592"/>
      <c r="Y19" s="1592"/>
      <c r="Z19" s="1592"/>
      <c r="AA19" s="1592"/>
      <c r="AB19" s="1592"/>
      <c r="AC19" s="1592"/>
      <c r="AD19" s="1592"/>
      <c r="AE19" s="2157"/>
      <c r="AF19" s="2168"/>
      <c r="AG19" s="2169"/>
      <c r="AH19" s="1593"/>
    </row>
    <row r="20" spans="1:35" s="2094" customFormat="1" ht="27.75" thickBot="1">
      <c r="A20" s="1687" t="s">
        <v>2535</v>
      </c>
      <c r="B20" s="1583" t="s">
        <v>2536</v>
      </c>
      <c r="C20" s="2170">
        <f>ROUND(POWER(1+G20,J20-I20)*(POWER(1+G20,I20)-1)/(POWER(1+G20,J20)-1),4)</f>
        <v>0.82210000000000005</v>
      </c>
      <c r="D20" s="2171" t="s">
        <v>2537</v>
      </c>
      <c r="E20" s="3122">
        <f>存贷款利率!E18/100</f>
        <v>4.3499999999999997E-2</v>
      </c>
      <c r="F20" s="2171" t="s">
        <v>2526</v>
      </c>
      <c r="G20" s="3123">
        <f>SUMIF(M26:P26,E2,M28:P28)</f>
        <v>4.8000000000000001E-2</v>
      </c>
      <c r="H20" s="2171" t="s">
        <v>2538</v>
      </c>
      <c r="I20" s="2172">
        <f>'数据-取费表'!B13</f>
        <v>29</v>
      </c>
      <c r="J20" s="2173">
        <f>IF(E2="住宅",70,IF(E2="商业",40,50))</f>
        <v>50</v>
      </c>
      <c r="K20" s="3019"/>
      <c r="L20" s="2174" t="s">
        <v>2539</v>
      </c>
      <c r="M20" s="2175">
        <f>ROUND(SUMPRODUCT((地价!A4:A36=YEAR(G19)&amp;"-"&amp;ROUNDUP(MONTH(G19)/3,0))*(地价!B2:F2=E2)*(地价!B4:F36)),0)</f>
        <v>334</v>
      </c>
      <c r="N20" s="2176" t="s">
        <v>2540</v>
      </c>
      <c r="O20" s="2177" t="s">
        <v>2541</v>
      </c>
      <c r="P20" s="2178" t="s">
        <v>2542</v>
      </c>
      <c r="Q20" s="3019"/>
      <c r="R20" s="3017"/>
      <c r="S20" s="3017"/>
      <c r="T20" s="3017"/>
      <c r="U20" s="3017"/>
      <c r="V20" s="3017"/>
      <c r="W20" s="3017"/>
      <c r="X20" s="1592"/>
      <c r="Y20" s="1592"/>
      <c r="Z20" s="1592"/>
      <c r="AA20" s="1592"/>
      <c r="AB20" s="1592"/>
      <c r="AC20" s="1592"/>
      <c r="AD20" s="1592"/>
      <c r="AE20" s="2157"/>
      <c r="AF20" s="2157"/>
    </row>
    <row r="21" spans="1:35" s="2094" customFormat="1" ht="14.25">
      <c r="A21" s="2179" t="s">
        <v>2543</v>
      </c>
      <c r="B21" s="1584" t="s">
        <v>2544</v>
      </c>
      <c r="C21" s="2180">
        <f>IF(B21="容积率修正",IF(G3&lt;=10,D22,J22),C23)</f>
        <v>0</v>
      </c>
      <c r="D21" s="2181"/>
      <c r="E21" s="2181"/>
      <c r="F21" s="2181"/>
      <c r="G21" s="2181"/>
      <c r="H21" s="2181"/>
      <c r="I21" s="2181"/>
      <c r="J21" s="2046"/>
      <c r="K21" s="3019"/>
      <c r="L21" s="3019"/>
      <c r="M21" s="3019"/>
      <c r="N21" s="2182" t="s">
        <v>2545</v>
      </c>
      <c r="O21" s="2183"/>
      <c r="P21" s="2184">
        <f>SUMPRODUCT((地价!A3:A36=YEAR(G19)&amp;"-"&amp;ROUNDUP(MONTH(G19)/3,0))*(地价!AD2:AH2=N21)*(地价!AD3:AH36))</f>
        <v>1.0500000000000001E-2</v>
      </c>
      <c r="Q21" s="3019"/>
      <c r="R21" s="3017"/>
      <c r="S21" s="3017"/>
      <c r="T21" s="3017"/>
      <c r="U21" s="3017"/>
      <c r="V21" s="3017"/>
      <c r="W21" s="3017"/>
      <c r="X21" s="1592"/>
      <c r="Y21" s="1592"/>
      <c r="Z21" s="1592"/>
      <c r="AA21" s="1592"/>
      <c r="AB21" s="1592"/>
      <c r="AC21" s="1592"/>
      <c r="AD21" s="1592"/>
      <c r="AE21" s="2157"/>
      <c r="AF21" s="2157"/>
    </row>
    <row r="22" spans="1:35" s="2094" customFormat="1" ht="14.25">
      <c r="A22" s="2042">
        <v>1</v>
      </c>
      <c r="B22" s="2041" t="s">
        <v>2546</v>
      </c>
      <c r="C22" s="2041" t="s">
        <v>2547</v>
      </c>
      <c r="D22" s="2041">
        <f>IF(E22=G22,F22,IF(G3&lt;=10,ROUND(F22+(H22-F22)*(G3-E22)/(G22-E22),4),"——"))</f>
        <v>0</v>
      </c>
      <c r="E22" s="2085">
        <f>ROUNDDOWN(G3,1)</f>
        <v>0</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5">
        <f>ROUNDUP(G3,1)</f>
        <v>0</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1" t="s">
        <v>104</v>
      </c>
      <c r="J22" s="2185" t="str">
        <f>IF(G3&gt;10,D113,"——")</f>
        <v>——</v>
      </c>
      <c r="K22" s="3019"/>
      <c r="L22" s="3019"/>
      <c r="M22" s="3019"/>
      <c r="N22" s="2182" t="s">
        <v>2548</v>
      </c>
      <c r="O22" s="2183"/>
      <c r="P22" s="2184">
        <f>SUMPRODUCT((地价!A3:A36=YEAR(G19)&amp;"-"&amp;ROUNDUP(MONTH(G19)/3,0))*(地价!AD2:AH2=N22)*(地价!AD3:AH36))</f>
        <v>1.0500000000000001E-2</v>
      </c>
      <c r="Q22" s="3019"/>
      <c r="R22" s="3017"/>
      <c r="S22" s="3017"/>
      <c r="T22" s="3017"/>
      <c r="U22" s="3017"/>
      <c r="V22" s="3017"/>
      <c r="W22" s="3017"/>
      <c r="X22" s="1592"/>
      <c r="Y22" s="1592"/>
      <c r="Z22" s="1592"/>
      <c r="AA22" s="1592"/>
      <c r="AB22" s="1592"/>
      <c r="AC22" s="1592"/>
      <c r="AD22" s="1592"/>
      <c r="AE22" s="2157"/>
      <c r="AF22" s="2157"/>
    </row>
    <row r="23" spans="1:35" ht="27">
      <c r="A23" s="2042">
        <v>2</v>
      </c>
      <c r="B23" s="2041" t="s">
        <v>2549</v>
      </c>
      <c r="C23" s="2186" t="e">
        <f>ROUND(IF(G3&gt;1,IF(I3&lt;7,SUMPRODUCT((B93:B98=I3)*(C92:N92=G2)*(C93:N98)),SUMIF(C92:N92,G2,C100:N100)),IF(I3&lt;7,SUMPRODUCT((B102:B107=I3)*(C92:N92=G2)*(C102:N107)),SUMIF(C92:N92,G2,C109:N109))),4)</f>
        <v>#DIV/0!</v>
      </c>
      <c r="D23" s="2138"/>
      <c r="E23" s="2138"/>
      <c r="F23" s="2187"/>
      <c r="G23" s="2188"/>
      <c r="H23" s="1589"/>
      <c r="I23" s="2041"/>
      <c r="J23" s="2185"/>
      <c r="K23" s="3017"/>
      <c r="L23" s="3017"/>
      <c r="M23" s="3017"/>
      <c r="N23" s="2182" t="s">
        <v>2550</v>
      </c>
      <c r="O23" s="2183"/>
      <c r="P23" s="2184">
        <f>SUMPRODUCT((地价!A3:A36=YEAR(G19)&amp;"-"&amp;ROUNDUP(MONTH(G19)/3,0))*(地价!AD2:AH2=N23)*(地价!AD3:AH36))</f>
        <v>1.83E-2</v>
      </c>
      <c r="Q23" s="3017"/>
      <c r="R23" s="3017"/>
      <c r="S23" s="3017"/>
      <c r="T23" s="3017"/>
      <c r="U23" s="3017"/>
      <c r="V23" s="3017"/>
      <c r="W23" s="3017"/>
      <c r="X23" s="1592"/>
      <c r="Y23" s="1592"/>
      <c r="Z23" s="1592"/>
      <c r="AA23" s="1592"/>
      <c r="AB23" s="1592"/>
      <c r="AC23" s="1592"/>
      <c r="AD23" s="1592"/>
      <c r="AE23" s="1592"/>
      <c r="AF23" s="1592"/>
    </row>
    <row r="24" spans="1:35" s="2094" customFormat="1" ht="15.75" thickBot="1">
      <c r="A24" s="2189" t="s">
        <v>2551</v>
      </c>
      <c r="B24" s="1586" t="s">
        <v>2552</v>
      </c>
      <c r="C24" s="2190">
        <f>SUMIF(A46:A88,E2,B46:B88)</f>
        <v>1</v>
      </c>
      <c r="D24" s="2191"/>
      <c r="E24" s="2192"/>
      <c r="F24" s="2192"/>
      <c r="G24" s="2192"/>
      <c r="H24" s="2192"/>
      <c r="I24" s="2192"/>
      <c r="J24" s="2193"/>
      <c r="K24" s="3019"/>
      <c r="L24" s="3019"/>
      <c r="M24" s="3019"/>
      <c r="N24" s="2194" t="s">
        <v>2553</v>
      </c>
      <c r="O24" s="2195"/>
      <c r="P24" s="2196">
        <f>SUMPRODUCT((地价!A3:A36=YEAR(G19)&amp;"-"&amp;ROUNDUP(MONTH(G19)/3,0))*(地价!AD2:AH2=N24)*(地价!AD3:AH36))</f>
        <v>1.2200000000000001E-2</v>
      </c>
      <c r="Q24" s="3019"/>
      <c r="R24" s="3017"/>
      <c r="S24" s="3017"/>
      <c r="T24" s="3017"/>
      <c r="U24" s="3017"/>
      <c r="V24" s="3017"/>
      <c r="W24" s="3017"/>
      <c r="X24" s="1592"/>
      <c r="Y24" s="1592"/>
      <c r="Z24" s="1592"/>
      <c r="AA24" s="1592"/>
      <c r="AB24" s="1592"/>
      <c r="AC24" s="1592"/>
      <c r="AD24" s="1592"/>
      <c r="AE24" s="2157"/>
      <c r="AF24" s="2157"/>
    </row>
    <row r="25" spans="1:35" ht="15" thickBot="1">
      <c r="A25" s="1687" t="s">
        <v>2554</v>
      </c>
      <c r="B25" s="1587" t="s">
        <v>2555</v>
      </c>
      <c r="C25" s="2197"/>
      <c r="D25" s="2103"/>
      <c r="E25" s="2103"/>
      <c r="F25" s="2198"/>
      <c r="G25" s="2103"/>
      <c r="H25" s="2103"/>
      <c r="I25" s="2103"/>
      <c r="J25" s="2104"/>
      <c r="K25" s="3017"/>
      <c r="L25" s="3017"/>
      <c r="M25" s="3017"/>
      <c r="N25" s="3020" t="s">
        <v>2556</v>
      </c>
      <c r="O25" s="3021"/>
      <c r="P25" s="3022">
        <f>SUMPRODUCT((地价!A3:A36=YEAR(G19)&amp;"-"&amp;ROUNDUP(MONTH(G19)/3,0))*(地价!AD2:AH2=N25)*(地价!AD3:AH36))</f>
        <v>1.66E-2</v>
      </c>
      <c r="Q25" s="3017"/>
      <c r="R25" s="3017"/>
      <c r="S25" s="3017"/>
      <c r="T25" s="3017"/>
      <c r="U25" s="3017"/>
      <c r="V25" s="3017"/>
      <c r="W25" s="3017"/>
      <c r="X25" s="1592"/>
      <c r="Y25" s="1592"/>
      <c r="Z25" s="1592"/>
      <c r="AA25" s="1592"/>
      <c r="AB25" s="1592"/>
      <c r="AC25" s="1592"/>
      <c r="AD25" s="1592"/>
      <c r="AE25" s="1592"/>
      <c r="AF25" s="1592"/>
    </row>
    <row r="26" spans="1:35" ht="15">
      <c r="A26" s="1672"/>
      <c r="B26" s="2041" t="s">
        <v>2557</v>
      </c>
      <c r="C26" s="2857" t="e">
        <f>IF(B21="容积率修正",E29+SUM(E33:E39),SUM(V2:V16)+SUM(E33:E39))</f>
        <v>#DIV/0!</v>
      </c>
      <c r="D26" s="2199"/>
      <c r="E26" s="2138"/>
      <c r="F26" s="1447"/>
      <c r="G26" s="2138"/>
      <c r="H26" s="2138"/>
      <c r="I26" s="2138"/>
      <c r="J26" s="2200"/>
      <c r="K26" s="3017"/>
      <c r="L26" s="3023" t="s">
        <v>2516</v>
      </c>
      <c r="M26" s="2101" t="s">
        <v>2517</v>
      </c>
      <c r="N26" s="2101" t="s">
        <v>2518</v>
      </c>
      <c r="O26" s="2101" t="s">
        <v>2519</v>
      </c>
      <c r="P26" s="3024" t="s">
        <v>2520</v>
      </c>
      <c r="Q26" s="3017"/>
      <c r="R26" s="3017"/>
      <c r="S26" s="3017"/>
      <c r="T26" s="3017"/>
      <c r="U26" s="3017"/>
      <c r="V26" s="3017"/>
      <c r="W26" s="3017"/>
      <c r="X26" s="1592"/>
      <c r="Y26" s="1592"/>
      <c r="Z26" s="1592"/>
      <c r="AA26" s="1592"/>
      <c r="AB26" s="1592"/>
      <c r="AC26" s="1592"/>
      <c r="AD26" s="1592"/>
      <c r="AE26" s="1592"/>
      <c r="AF26" s="1592"/>
    </row>
    <row r="27" spans="1:35" ht="15.75" thickBot="1">
      <c r="A27" s="1672"/>
      <c r="B27" s="1588" t="s">
        <v>2558</v>
      </c>
      <c r="C27" s="2201" t="e">
        <f>E30+SUM(I33:I39)</f>
        <v>#DIV/0!</v>
      </c>
      <c r="D27" s="2150"/>
      <c r="E27" s="2202"/>
      <c r="F27" s="2203"/>
      <c r="G27" s="2202"/>
      <c r="H27" s="2202"/>
      <c r="I27" s="2202"/>
      <c r="J27" s="2204"/>
      <c r="K27" s="3017"/>
      <c r="L27" s="2205" t="s">
        <v>2523</v>
      </c>
      <c r="M27" s="2114">
        <v>0.25</v>
      </c>
      <c r="N27" s="2114">
        <v>0.2</v>
      </c>
      <c r="O27" s="2114">
        <v>0.15</v>
      </c>
      <c r="P27" s="2206">
        <v>0.1</v>
      </c>
      <c r="Q27" s="3017"/>
      <c r="R27" s="3017"/>
      <c r="S27" s="3017"/>
      <c r="T27" s="3017"/>
      <c r="U27" s="3017"/>
      <c r="V27" s="3017"/>
      <c r="W27" s="3017"/>
      <c r="X27" s="1592"/>
      <c r="Y27" s="1592"/>
      <c r="Z27" s="1592"/>
      <c r="AA27" s="1592"/>
      <c r="AB27" s="1592"/>
      <c r="AC27" s="1592"/>
      <c r="AD27" s="1592"/>
      <c r="AE27" s="1592"/>
      <c r="AF27" s="1592"/>
    </row>
    <row r="28" spans="1:35" ht="15.75" thickBot="1">
      <c r="A28" s="1687"/>
      <c r="B28" s="2207" t="s">
        <v>2559</v>
      </c>
      <c r="C28" s="2208" t="s">
        <v>2560</v>
      </c>
      <c r="D28" s="2208" t="s">
        <v>2561</v>
      </c>
      <c r="E28" s="1587" t="s">
        <v>2562</v>
      </c>
      <c r="F28" s="2209"/>
      <c r="G28" s="2125"/>
      <c r="H28" s="2125"/>
      <c r="I28" s="2125"/>
      <c r="J28" s="2126"/>
      <c r="K28" s="3017"/>
      <c r="L28" s="2210" t="s">
        <v>2526</v>
      </c>
      <c r="M28" s="2211">
        <f>ROUND($E$20*(1+M27),3)</f>
        <v>5.3999999999999999E-2</v>
      </c>
      <c r="N28" s="2211">
        <f>ROUND($E$20*(1+N27),3)</f>
        <v>5.1999999999999998E-2</v>
      </c>
      <c r="O28" s="2211">
        <f>ROUND($E$20*(1+O27),3)</f>
        <v>0.05</v>
      </c>
      <c r="P28" s="2129">
        <f>ROUND($E$20*(1+P27),3)</f>
        <v>4.8000000000000001E-2</v>
      </c>
      <c r="Q28" s="3017"/>
      <c r="R28" s="3017"/>
      <c r="S28" s="3017"/>
      <c r="T28" s="3017"/>
      <c r="U28" s="3017"/>
      <c r="V28" s="3017"/>
      <c r="W28" s="3017"/>
      <c r="X28" s="1592"/>
      <c r="Y28" s="1592"/>
      <c r="Z28" s="1592"/>
      <c r="AA28" s="1592"/>
      <c r="AB28" s="1592"/>
      <c r="AC28" s="1592"/>
      <c r="AD28" s="1592"/>
      <c r="AE28" s="1592"/>
      <c r="AF28" s="1592"/>
    </row>
    <row r="29" spans="1:35">
      <c r="A29" s="2212"/>
      <c r="B29" s="1589" t="s">
        <v>2563</v>
      </c>
      <c r="C29" s="54" t="e">
        <f>ROUND(C5*C18*C19*C20*C21*C24,0)</f>
        <v>#DIV/0!</v>
      </c>
      <c r="D29" s="2213">
        <f>项目基本情况!C12</f>
        <v>393.43</v>
      </c>
      <c r="E29" s="2000" t="e">
        <f>ROUND(C29*D29,0)</f>
        <v>#DIV/0!</v>
      </c>
      <c r="F29" s="2214" t="s">
        <v>2564</v>
      </c>
      <c r="G29" s="2215"/>
      <c r="H29" s="2215"/>
      <c r="I29" s="2215"/>
      <c r="J29" s="2216"/>
      <c r="K29" s="3017"/>
      <c r="L29" s="3017"/>
      <c r="M29" s="3017"/>
      <c r="N29" s="3017"/>
      <c r="O29" s="3017"/>
      <c r="P29" s="3017"/>
      <c r="Q29" s="3017"/>
      <c r="R29" s="3017"/>
      <c r="S29" s="3017"/>
      <c r="T29" s="3017"/>
      <c r="U29" s="3017"/>
      <c r="V29" s="3017"/>
      <c r="W29" s="3017"/>
      <c r="X29" s="1592"/>
      <c r="Y29" s="1592"/>
      <c r="Z29" s="1592"/>
      <c r="AA29" s="1592"/>
      <c r="AB29" s="1592"/>
      <c r="AC29" s="1592"/>
      <c r="AD29" s="1592"/>
      <c r="AE29" s="1592"/>
      <c r="AF29" s="1592"/>
    </row>
    <row r="30" spans="1:35" ht="25.5" thickBot="1">
      <c r="A30" s="2217"/>
      <c r="B30" s="1590" t="s">
        <v>2565</v>
      </c>
      <c r="C30" s="2141" t="e">
        <f>ROUND(IF(E2="工业",C29*M39,C29*M38),0)</f>
        <v>#DIV/0!</v>
      </c>
      <c r="D30" s="2218"/>
      <c r="E30" s="2000" t="e">
        <f>ROUND(C30*D30,0)</f>
        <v>#DIV/0!</v>
      </c>
      <c r="F30" s="2219" t="s">
        <v>2566</v>
      </c>
      <c r="G30" s="2220"/>
      <c r="H30" s="2220"/>
      <c r="I30" s="2220"/>
      <c r="J30" s="2221"/>
      <c r="K30" s="3017"/>
      <c r="L30" s="3017"/>
      <c r="M30" s="3017"/>
      <c r="N30" s="3017"/>
      <c r="O30" s="3017"/>
      <c r="P30" s="3017"/>
      <c r="Q30" s="3017"/>
      <c r="R30" s="3017"/>
      <c r="S30" s="3017"/>
      <c r="T30" s="3017"/>
      <c r="U30" s="3017"/>
      <c r="V30" s="3017"/>
      <c r="W30" s="3017"/>
      <c r="X30" s="1592"/>
      <c r="Y30" s="1592"/>
      <c r="Z30" s="1592"/>
      <c r="AA30" s="1592"/>
      <c r="AB30" s="1592"/>
      <c r="AC30" s="1592"/>
      <c r="AD30" s="1592"/>
      <c r="AE30" s="1592"/>
      <c r="AF30" s="1592"/>
    </row>
    <row r="31" spans="1:35">
      <c r="A31" s="2222"/>
      <c r="B31" s="1591" t="s">
        <v>2567</v>
      </c>
      <c r="C31" s="2223" t="s">
        <v>2568</v>
      </c>
      <c r="D31" s="2125"/>
      <c r="E31" s="2223"/>
      <c r="F31" s="2223"/>
      <c r="G31" s="2124" t="s">
        <v>2569</v>
      </c>
      <c r="H31" s="2125"/>
      <c r="I31" s="2224"/>
      <c r="J31" s="2126"/>
      <c r="K31" s="3017"/>
      <c r="L31" s="3017"/>
      <c r="M31" s="3017"/>
      <c r="N31" s="3017"/>
      <c r="O31" s="3017"/>
      <c r="P31" s="3017"/>
      <c r="Q31" s="3017"/>
      <c r="R31" s="3017"/>
      <c r="S31" s="3017"/>
      <c r="T31" s="3017"/>
      <c r="U31" s="3017"/>
      <c r="V31" s="3017"/>
      <c r="W31" s="3017"/>
      <c r="X31" s="1592"/>
      <c r="Y31" s="1592"/>
      <c r="Z31" s="1592"/>
      <c r="AA31" s="1592"/>
      <c r="AB31" s="1592"/>
      <c r="AC31" s="1592"/>
      <c r="AD31" s="1592"/>
      <c r="AE31" s="1592"/>
      <c r="AF31" s="1592"/>
    </row>
    <row r="32" spans="1:35" ht="24">
      <c r="A32" s="2212"/>
      <c r="B32" s="2225"/>
      <c r="C32" s="1780" t="s">
        <v>2560</v>
      </c>
      <c r="D32" s="1777" t="s">
        <v>2561</v>
      </c>
      <c r="E32" s="1777" t="s">
        <v>2562</v>
      </c>
      <c r="F32" s="50" t="s">
        <v>2570</v>
      </c>
      <c r="G32" s="2186" t="s">
        <v>2560</v>
      </c>
      <c r="H32" s="2186" t="s">
        <v>2561</v>
      </c>
      <c r="I32" s="2186" t="s">
        <v>2562</v>
      </c>
      <c r="J32" s="2038"/>
      <c r="K32" s="3017"/>
      <c r="L32" s="3017"/>
      <c r="M32" s="3017"/>
      <c r="N32" s="3017"/>
      <c r="O32" s="3017"/>
      <c r="P32" s="3017"/>
      <c r="Q32" s="3017"/>
      <c r="R32" s="3017"/>
      <c r="S32" s="3017"/>
      <c r="T32" s="3017"/>
      <c r="U32" s="3017"/>
      <c r="V32" s="3017"/>
      <c r="W32" s="3017"/>
      <c r="X32" s="1592"/>
      <c r="Y32" s="1592"/>
      <c r="Z32" s="1592"/>
      <c r="AA32" s="1592"/>
      <c r="AB32" s="1592"/>
      <c r="AC32" s="1592"/>
      <c r="AD32" s="1592"/>
      <c r="AE32" s="1592"/>
      <c r="AF32" s="1592"/>
    </row>
    <row r="33" spans="1:33">
      <c r="A33" s="3566" t="s">
        <v>2571</v>
      </c>
      <c r="B33" s="2226" t="s">
        <v>2572</v>
      </c>
      <c r="C33" s="54" t="e">
        <f>ROUND(D5*C19*C20*C24*F33,0)</f>
        <v>#DIV/0!</v>
      </c>
      <c r="D33" s="2213"/>
      <c r="E33" s="50" t="e">
        <f t="shared" ref="E33:E39" si="6">ROUND(C33*D33,0)</f>
        <v>#DIV/0!</v>
      </c>
      <c r="F33" s="50">
        <f>SUMIF(修正!A45:A56,G2,修正!B45:B56)</f>
        <v>0</v>
      </c>
      <c r="G33" s="50" t="e">
        <f t="shared" ref="G33" si="7">ROUND(IF(E2="工业",C33*$M$39,C33*$M$38),0)</f>
        <v>#DIV/0!</v>
      </c>
      <c r="H33" s="50">
        <f>D33</f>
        <v>0</v>
      </c>
      <c r="I33" s="50" t="e">
        <f t="shared" ref="I33:I39" si="8">ROUND(G33*H33,0)</f>
        <v>#DIV/0!</v>
      </c>
      <c r="J33" s="2200"/>
      <c r="K33" s="3017"/>
      <c r="L33" s="3017"/>
      <c r="M33" s="3017"/>
      <c r="N33" s="3017"/>
      <c r="O33" s="3017"/>
      <c r="P33" s="3017"/>
      <c r="Q33" s="3017"/>
      <c r="R33" s="3017"/>
      <c r="S33" s="3017"/>
      <c r="T33" s="3017"/>
      <c r="U33" s="3017"/>
      <c r="V33" s="3017"/>
      <c r="W33" s="3017"/>
      <c r="X33" s="1592"/>
      <c r="Y33" s="1592"/>
      <c r="Z33" s="1592"/>
      <c r="AA33" s="1592"/>
      <c r="AB33" s="1592"/>
      <c r="AC33" s="1592"/>
      <c r="AD33" s="1592"/>
      <c r="AE33" s="1592"/>
      <c r="AF33" s="1592"/>
    </row>
    <row r="34" spans="1:33">
      <c r="A34" s="3567"/>
      <c r="B34" s="2131" t="s">
        <v>2573</v>
      </c>
      <c r="C34" s="54" t="e">
        <f>ROUND(D5*C19*C20*C24*F34,0)</f>
        <v>#DIV/0!</v>
      </c>
      <c r="D34" s="2213"/>
      <c r="E34" s="50" t="e">
        <f t="shared" si="6"/>
        <v>#DIV/0!</v>
      </c>
      <c r="F34" s="50">
        <f>SUMIF(修正!A45:A56,G2,修正!C45:C56)</f>
        <v>0</v>
      </c>
      <c r="G34" s="50" t="e">
        <f>ROUND(IF(E2="工业",C34*$M$39,C34*$M$38),0)</f>
        <v>#DIV/0!</v>
      </c>
      <c r="H34" s="50">
        <f t="shared" ref="H34:H39" si="9">D34</f>
        <v>0</v>
      </c>
      <c r="I34" s="50" t="e">
        <f t="shared" si="8"/>
        <v>#DIV/0!</v>
      </c>
      <c r="J34" s="2200"/>
      <c r="K34" s="3017"/>
      <c r="L34" s="3017"/>
      <c r="M34" s="3017"/>
      <c r="N34" s="3017"/>
      <c r="O34" s="3017"/>
      <c r="P34" s="3017"/>
      <c r="Q34" s="3017"/>
      <c r="R34" s="3017"/>
      <c r="S34" s="3017"/>
      <c r="T34" s="3017"/>
      <c r="U34" s="3017"/>
      <c r="V34" s="3017"/>
      <c r="W34" s="3017"/>
      <c r="X34" s="1592"/>
      <c r="Y34" s="1592"/>
      <c r="Z34" s="1592"/>
      <c r="AA34" s="1592"/>
      <c r="AB34" s="1592"/>
      <c r="AC34" s="1592"/>
      <c r="AD34" s="1592"/>
      <c r="AE34" s="1592"/>
      <c r="AF34" s="1592"/>
    </row>
    <row r="35" spans="1:33">
      <c r="A35" s="3567"/>
      <c r="B35" s="2131" t="s">
        <v>2574</v>
      </c>
      <c r="C35" s="54" t="e">
        <f>ROUND(D5*C19*C20*C24*F35,0)</f>
        <v>#DIV/0!</v>
      </c>
      <c r="D35" s="2213"/>
      <c r="E35" s="50" t="e">
        <f t="shared" si="6"/>
        <v>#DIV/0!</v>
      </c>
      <c r="F35" s="50">
        <f>SUMIF(修正!A45:A56,G2,修正!D45:D56)</f>
        <v>0</v>
      </c>
      <c r="G35" s="50" t="e">
        <f>ROUND(IF(E2="工业",C35*$M$39,C35*$M$38),0)</f>
        <v>#DIV/0!</v>
      </c>
      <c r="H35" s="50">
        <f t="shared" si="9"/>
        <v>0</v>
      </c>
      <c r="I35" s="50" t="e">
        <f t="shared" si="8"/>
        <v>#DIV/0!</v>
      </c>
      <c r="J35" s="2200"/>
      <c r="K35" s="3017"/>
      <c r="L35" s="3017"/>
      <c r="M35" s="3017"/>
      <c r="N35" s="3017"/>
      <c r="O35" s="3017"/>
      <c r="P35" s="3017"/>
      <c r="Q35" s="3017"/>
      <c r="R35" s="3017"/>
      <c r="S35" s="3017"/>
      <c r="T35" s="3017"/>
      <c r="U35" s="3017"/>
      <c r="V35" s="3017"/>
      <c r="W35" s="3017"/>
      <c r="X35" s="1592"/>
      <c r="Y35" s="1592"/>
      <c r="Z35" s="1592"/>
      <c r="AA35" s="1592"/>
      <c r="AB35" s="1592"/>
      <c r="AC35" s="1592"/>
      <c r="AD35" s="1592"/>
      <c r="AE35" s="1592"/>
      <c r="AF35" s="1592"/>
    </row>
    <row r="36" spans="1:33" ht="13.5" thickBot="1">
      <c r="A36" s="3568"/>
      <c r="B36" s="2131" t="s">
        <v>2575</v>
      </c>
      <c r="C36" s="54" t="e">
        <f>ROUND(D5*C19*C20*C24*F36,0)</f>
        <v>#DIV/0!</v>
      </c>
      <c r="D36" s="2213"/>
      <c r="E36" s="50" t="e">
        <f t="shared" si="6"/>
        <v>#DIV/0!</v>
      </c>
      <c r="F36" s="50">
        <f>SUMIF(修正!A45:A56,G2,修正!E45:E56)</f>
        <v>0</v>
      </c>
      <c r="G36" s="50" t="e">
        <f>ROUND(IF(E2="工业",C36*$M$39,C36*$M$38),0)</f>
        <v>#DIV/0!</v>
      </c>
      <c r="H36" s="50">
        <f t="shared" si="9"/>
        <v>0</v>
      </c>
      <c r="I36" s="50" t="e">
        <f t="shared" si="8"/>
        <v>#DIV/0!</v>
      </c>
      <c r="J36" s="2200"/>
      <c r="K36" s="3017"/>
      <c r="L36" s="3017"/>
      <c r="M36" s="3017"/>
      <c r="N36" s="3017"/>
      <c r="O36" s="3017"/>
      <c r="P36" s="3017"/>
      <c r="Q36" s="3017"/>
      <c r="R36" s="3017"/>
      <c r="S36" s="3017"/>
      <c r="T36" s="3017"/>
      <c r="U36" s="3017"/>
      <c r="V36" s="3017"/>
      <c r="W36" s="3017"/>
      <c r="X36" s="1592"/>
      <c r="Y36" s="1592"/>
      <c r="Z36" s="1592"/>
      <c r="AA36" s="1592"/>
      <c r="AB36" s="1592"/>
      <c r="AC36" s="1592"/>
      <c r="AD36" s="1592"/>
      <c r="AE36" s="1592"/>
      <c r="AF36" s="1592"/>
    </row>
    <row r="37" spans="1:33">
      <c r="A37" s="2227"/>
      <c r="B37" s="2131" t="s">
        <v>2576</v>
      </c>
      <c r="C37" s="50" t="e">
        <f>ROUND(D5*C19*C20*C24*F37,0)</f>
        <v>#DIV/0!</v>
      </c>
      <c r="D37" s="2213"/>
      <c r="E37" s="50" t="e">
        <f t="shared" si="6"/>
        <v>#DIV/0!</v>
      </c>
      <c r="F37" s="54">
        <f>SUMIF(修正!A45:A56,G2,修正!F45:F56)</f>
        <v>0</v>
      </c>
      <c r="G37" s="50" t="e">
        <f>ROUND(IF(E2="工业",C37*$M$39,C37*$M$38),0)</f>
        <v>#DIV/0!</v>
      </c>
      <c r="H37" s="50">
        <f t="shared" si="9"/>
        <v>0</v>
      </c>
      <c r="I37" s="50" t="e">
        <f t="shared" si="8"/>
        <v>#DIV/0!</v>
      </c>
      <c r="J37" s="2200"/>
      <c r="K37" s="3017"/>
      <c r="L37" s="2228" t="s">
        <v>2577</v>
      </c>
      <c r="M37" s="2104"/>
      <c r="N37" s="3017"/>
      <c r="O37" s="3017"/>
      <c r="P37" s="3017"/>
      <c r="Q37" s="3017"/>
      <c r="R37" s="3017"/>
      <c r="S37" s="3017"/>
      <c r="T37" s="3017"/>
      <c r="U37" s="3017"/>
      <c r="V37" s="3017"/>
      <c r="W37" s="3017"/>
      <c r="X37" s="1592"/>
      <c r="Y37" s="1592"/>
      <c r="Z37" s="1592"/>
      <c r="AA37" s="1592"/>
      <c r="AB37" s="1592"/>
      <c r="AC37" s="1592"/>
      <c r="AD37" s="1592"/>
      <c r="AE37" s="1592"/>
      <c r="AF37" s="1592"/>
    </row>
    <row r="38" spans="1:33">
      <c r="A38" s="2227"/>
      <c r="B38" s="2131" t="s">
        <v>2578</v>
      </c>
      <c r="C38" s="50" t="e">
        <f>ROUND(D5*C19*C41*C24*F38,0)</f>
        <v>#DIV/0!</v>
      </c>
      <c r="D38" s="2213"/>
      <c r="E38" s="50" t="e">
        <f t="shared" si="6"/>
        <v>#DIV/0!</v>
      </c>
      <c r="F38" s="54">
        <f>SUMIF(修正!A45:A56,G2,修正!G45:G56)</f>
        <v>0</v>
      </c>
      <c r="G38" s="50" t="e">
        <f>ROUND(IF(E2="工业",C38*$M$39,C38*$M$38),0)</f>
        <v>#DIV/0!</v>
      </c>
      <c r="H38" s="50">
        <f t="shared" si="9"/>
        <v>0</v>
      </c>
      <c r="I38" s="50" t="e">
        <f t="shared" si="8"/>
        <v>#DIV/0!</v>
      </c>
      <c r="J38" s="2200"/>
      <c r="K38" s="3017"/>
      <c r="L38" s="2229" t="s">
        <v>2579</v>
      </c>
      <c r="M38" s="2230">
        <v>0.25</v>
      </c>
      <c r="N38" s="3017"/>
      <c r="O38" s="3017"/>
      <c r="P38" s="3017"/>
      <c r="Q38" s="3017"/>
      <c r="R38" s="3017"/>
      <c r="S38" s="3017"/>
      <c r="T38" s="3017"/>
      <c r="U38" s="3017"/>
      <c r="V38" s="3017"/>
      <c r="W38" s="3017"/>
      <c r="X38" s="1592"/>
      <c r="Y38" s="1592"/>
      <c r="Z38" s="1592"/>
      <c r="AA38" s="1592"/>
      <c r="AB38" s="1592"/>
      <c r="AC38" s="1592"/>
      <c r="AD38" s="1592"/>
      <c r="AE38" s="1592"/>
      <c r="AF38" s="1592"/>
    </row>
    <row r="39" spans="1:33" ht="13.5" thickBot="1">
      <c r="A39" s="2217"/>
      <c r="B39" s="2231" t="s">
        <v>2580</v>
      </c>
      <c r="C39" s="2141" t="e">
        <f>ROUND(D5*C19*C41*C24*F39,0)</f>
        <v>#DIV/0!</v>
      </c>
      <c r="D39" s="2218"/>
      <c r="E39" s="2141" t="e">
        <f t="shared" si="6"/>
        <v>#DIV/0!</v>
      </c>
      <c r="F39" s="56">
        <f>SUMIF(修正!A45:A56,G2,修正!H45:H56)</f>
        <v>0</v>
      </c>
      <c r="G39" s="2141" t="e">
        <f>ROUND(IF(E2="工业",C39*$M$39,C39*$M$38),0)</f>
        <v>#DIV/0!</v>
      </c>
      <c r="H39" s="2141">
        <f t="shared" si="9"/>
        <v>0</v>
      </c>
      <c r="I39" s="2141" t="e">
        <f t="shared" si="8"/>
        <v>#DIV/0!</v>
      </c>
      <c r="J39" s="2204"/>
      <c r="K39" s="3017"/>
      <c r="L39" s="2232" t="s">
        <v>2520</v>
      </c>
      <c r="M39" s="2233">
        <v>0.15</v>
      </c>
      <c r="N39" s="3017"/>
      <c r="O39" s="3017"/>
      <c r="P39" s="3017"/>
      <c r="Q39" s="3017"/>
      <c r="R39" s="3017"/>
      <c r="S39" s="3017"/>
      <c r="T39" s="3017"/>
      <c r="U39" s="3017"/>
      <c r="V39" s="3017"/>
      <c r="W39" s="3017"/>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17"/>
      <c r="L40" s="3017"/>
      <c r="M40" s="3017"/>
      <c r="N40" s="3017"/>
      <c r="O40" s="3017"/>
      <c r="P40" s="3017"/>
      <c r="Q40" s="3017"/>
      <c r="R40" s="3017"/>
      <c r="S40" s="3017"/>
      <c r="T40" s="3017"/>
      <c r="U40" s="3017"/>
      <c r="V40" s="3017"/>
      <c r="W40" s="3017"/>
      <c r="X40" s="1592"/>
      <c r="Y40" s="1592"/>
      <c r="Z40" s="1592"/>
      <c r="AA40" s="1592"/>
      <c r="AB40" s="1592"/>
      <c r="AC40" s="1592"/>
      <c r="AD40" s="1592"/>
      <c r="AE40" s="1592"/>
      <c r="AF40" s="1592"/>
    </row>
    <row r="41" spans="1:33" s="2234" customFormat="1">
      <c r="A41" s="1592"/>
      <c r="B41" s="2235" t="s">
        <v>2660</v>
      </c>
      <c r="C41" s="50">
        <f>ROUND(POWER(1+E41,H41-G41)*(POWER(1+E41,G41)-1)/(POWER(1+E41,H41)-1),4)</f>
        <v>0</v>
      </c>
      <c r="D41" s="50" t="s">
        <v>2658</v>
      </c>
      <c r="E41" s="2236">
        <f>G20</f>
        <v>4.8000000000000001E-2</v>
      </c>
      <c r="F41" s="50" t="s">
        <v>2659</v>
      </c>
      <c r="G41" s="2237"/>
      <c r="H41" s="50">
        <v>50</v>
      </c>
      <c r="I41" s="1592"/>
      <c r="J41" s="1592"/>
      <c r="K41" s="3017"/>
      <c r="L41" s="3017"/>
      <c r="M41" s="3017"/>
      <c r="N41" s="3017"/>
      <c r="O41" s="3017"/>
      <c r="P41" s="3017"/>
      <c r="Q41" s="3017"/>
      <c r="R41" s="3017"/>
      <c r="S41" s="3017"/>
      <c r="T41" s="3017"/>
      <c r="U41" s="3017"/>
      <c r="V41" s="3017"/>
      <c r="W41" s="3017"/>
      <c r="X41" s="1592"/>
      <c r="Y41" s="1592"/>
      <c r="Z41" s="1592"/>
      <c r="AA41" s="1592"/>
      <c r="AB41" s="1592"/>
      <c r="AC41" s="1592"/>
      <c r="AD41" s="1592"/>
      <c r="AE41" s="1592"/>
      <c r="AF41" s="1592"/>
    </row>
    <row r="42" spans="1:33" s="2234"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2"/>
      <c r="Y42" s="1592"/>
      <c r="Z42" s="1592"/>
      <c r="AA42" s="1592"/>
      <c r="AB42" s="1592"/>
      <c r="AC42" s="1592"/>
      <c r="AD42" s="1592"/>
      <c r="AE42" s="1592"/>
      <c r="AF42" s="1592"/>
    </row>
    <row r="43" spans="1:33" s="2234"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2"/>
      <c r="Y43" s="1592"/>
      <c r="Z43" s="1592"/>
      <c r="AA43" s="1592"/>
      <c r="AB43" s="1592"/>
      <c r="AC43" s="1592"/>
      <c r="AD43" s="1592"/>
      <c r="AE43" s="1592"/>
      <c r="AF43" s="1592"/>
    </row>
    <row r="44" spans="1:33" s="2234"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2"/>
      <c r="Y44" s="1592"/>
      <c r="Z44" s="1592"/>
      <c r="AA44" s="1592"/>
      <c r="AB44" s="1592"/>
      <c r="AC44" s="1592"/>
      <c r="AD44" s="1592"/>
      <c r="AE44" s="1592"/>
      <c r="AF44" s="1592"/>
    </row>
    <row r="45" spans="1:33" s="2234" customFormat="1" ht="15.75" thickBot="1">
      <c r="A45" s="2238" t="s">
        <v>2581</v>
      </c>
      <c r="B45" s="2239"/>
      <c r="C45" s="608"/>
      <c r="D45" s="608"/>
      <c r="E45" s="608"/>
      <c r="F45" s="608"/>
      <c r="G45" s="608"/>
      <c r="H45" s="608"/>
      <c r="I45" s="608"/>
      <c r="J45" s="608"/>
      <c r="K45" s="608"/>
      <c r="L45" s="608"/>
      <c r="M45" s="608"/>
      <c r="N45" s="2069"/>
      <c r="O45" s="1592"/>
      <c r="P45" s="1592"/>
      <c r="Q45" s="3017"/>
      <c r="R45" s="3017"/>
      <c r="S45" s="3017"/>
      <c r="T45" s="3017"/>
      <c r="U45" s="3017"/>
      <c r="V45" s="3017"/>
      <c r="W45" s="3017"/>
      <c r="X45" s="1592"/>
      <c r="Y45" s="1592"/>
      <c r="Z45" s="1592"/>
      <c r="AA45" s="1592"/>
      <c r="AB45" s="1592"/>
      <c r="AC45" s="1592"/>
      <c r="AD45" s="1592"/>
      <c r="AE45" s="1592"/>
      <c r="AF45" s="1592"/>
    </row>
    <row r="46" spans="1:33" s="2234" customFormat="1" ht="15">
      <c r="A46" s="2240" t="s">
        <v>2582</v>
      </c>
      <c r="B46" s="2241">
        <f>1+E48</f>
        <v>1</v>
      </c>
      <c r="C46" s="2242"/>
      <c r="D46" s="2243"/>
      <c r="E46" s="2244"/>
      <c r="F46" s="2245"/>
      <c r="G46" s="608"/>
      <c r="H46" s="608"/>
      <c r="I46" s="608"/>
      <c r="J46" s="608"/>
      <c r="K46" s="608"/>
      <c r="L46" s="608"/>
      <c r="M46" s="2069"/>
      <c r="N46" s="2246"/>
      <c r="O46" s="1592"/>
      <c r="P46" s="1592"/>
      <c r="Q46" s="3017"/>
      <c r="R46" s="3017"/>
      <c r="S46" s="3017"/>
      <c r="T46" s="3017"/>
      <c r="U46" s="3017"/>
      <c r="V46" s="3017"/>
      <c r="W46" s="3017"/>
      <c r="X46" s="1592"/>
      <c r="Y46" s="1592"/>
      <c r="Z46" s="1592"/>
      <c r="AA46" s="1592"/>
      <c r="AB46" s="1592"/>
      <c r="AC46" s="1592"/>
      <c r="AD46" s="1592"/>
      <c r="AE46" s="1592"/>
    </row>
    <row r="47" spans="1:33" s="2234" customFormat="1" ht="24.75">
      <c r="A47" s="2247" t="s">
        <v>2583</v>
      </c>
      <c r="B47" s="2248" t="s">
        <v>2584</v>
      </c>
      <c r="C47" s="2248" t="s">
        <v>2585</v>
      </c>
      <c r="D47" s="2248" t="s">
        <v>2586</v>
      </c>
      <c r="E47" s="2249" t="s">
        <v>2587</v>
      </c>
      <c r="F47" s="2199" t="s">
        <v>2588</v>
      </c>
      <c r="G47" s="2248" t="s">
        <v>2589</v>
      </c>
      <c r="H47" s="2250" t="s">
        <v>2590</v>
      </c>
      <c r="I47" s="2248" t="s">
        <v>2591</v>
      </c>
      <c r="J47" s="1875" t="s">
        <v>2592</v>
      </c>
      <c r="K47" s="1875" t="s">
        <v>2593</v>
      </c>
      <c r="L47" s="1875" t="s">
        <v>2594</v>
      </c>
      <c r="M47" s="1875" t="s">
        <v>2595</v>
      </c>
      <c r="N47" s="1875" t="s">
        <v>2596</v>
      </c>
      <c r="O47" s="1592"/>
      <c r="P47" s="1592"/>
      <c r="Q47" s="3017"/>
      <c r="R47" s="3017"/>
      <c r="S47" s="3017"/>
      <c r="T47" s="3017"/>
      <c r="U47" s="3017"/>
      <c r="V47" s="3017"/>
      <c r="W47" s="3017"/>
      <c r="X47" s="1592"/>
      <c r="Y47" s="1592"/>
      <c r="Z47" s="1592"/>
      <c r="AA47" s="1592"/>
      <c r="AB47" s="1592"/>
      <c r="AC47" s="1592"/>
      <c r="AD47" s="1592"/>
      <c r="AE47" s="1592"/>
      <c r="AF47" s="1592"/>
      <c r="AG47" s="1592"/>
    </row>
    <row r="48" spans="1:33" s="2234" customFormat="1" ht="38.25">
      <c r="A48" s="2247" t="s">
        <v>2597</v>
      </c>
      <c r="B48" s="2251" t="str">
        <f>估价对象房地状况!C16</f>
        <v>估价对象位于XX商圈，周边商业氛围成熟，人流量大，商业繁华度好</v>
      </c>
      <c r="C48" s="2135"/>
      <c r="D48" s="2252">
        <f t="shared" ref="D48:D56" si="10">SUMIF($J$47:$N$47,C48,J48:N48)</f>
        <v>0</v>
      </c>
      <c r="E48" s="2253">
        <f>ROUND(SUM(D48:D56),4)</f>
        <v>0</v>
      </c>
      <c r="F48" s="2254" t="str">
        <f>IF(E2="商业",SUMIF(L1:L12,G2,N1:N12),"——")</f>
        <v>——</v>
      </c>
      <c r="G48" s="2255"/>
      <c r="H48" s="2256" t="str">
        <f t="shared" ref="H48:H56" si="11">IFERROR(ROUNDDOWN($F$48*I48/2,4),"——")</f>
        <v>——</v>
      </c>
      <c r="I48" s="2257">
        <v>0.33</v>
      </c>
      <c r="J48" s="2258">
        <f t="shared" ref="J48:J56" si="12">K48+$G48</f>
        <v>0</v>
      </c>
      <c r="K48" s="2258">
        <f t="shared" ref="K48:K56" si="13">$L48+$G48</f>
        <v>0</v>
      </c>
      <c r="L48" s="2258">
        <v>0</v>
      </c>
      <c r="M48" s="2258">
        <f t="shared" ref="M48:N56" si="14">L48-$G48</f>
        <v>0</v>
      </c>
      <c r="N48" s="2258">
        <f t="shared" si="14"/>
        <v>0</v>
      </c>
      <c r="O48" s="1592"/>
      <c r="P48" s="1592"/>
      <c r="Q48" s="3017"/>
      <c r="R48" s="3017"/>
      <c r="S48" s="3017"/>
      <c r="T48" s="3017"/>
      <c r="U48" s="3017"/>
      <c r="V48" s="3017"/>
      <c r="W48" s="3017"/>
      <c r="X48" s="1592"/>
      <c r="Y48" s="1592"/>
      <c r="Z48" s="1592"/>
      <c r="AA48" s="1592"/>
      <c r="AB48" s="1592"/>
      <c r="AC48" s="1592"/>
      <c r="AD48" s="1592"/>
      <c r="AE48" s="1592"/>
      <c r="AF48" s="1592"/>
      <c r="AG48" s="1592"/>
    </row>
    <row r="49" spans="1:33" s="2234" customFormat="1" ht="51">
      <c r="A49" s="2247" t="s">
        <v>2598</v>
      </c>
      <c r="B49" s="2259" t="str">
        <f>估价对象房地状况!C18</f>
        <v>估价对象周边道路状况、公共交通通达情况、停车便捷程度，综合评价交通便捷度较好</v>
      </c>
      <c r="C49" s="2135"/>
      <c r="D49" s="2252">
        <f t="shared" si="10"/>
        <v>0</v>
      </c>
      <c r="E49" s="2260"/>
      <c r="F49" s="2254"/>
      <c r="G49" s="2255"/>
      <c r="H49" s="2256" t="str">
        <f t="shared" si="11"/>
        <v>——</v>
      </c>
      <c r="I49" s="2257">
        <v>0.25</v>
      </c>
      <c r="J49" s="2258">
        <f t="shared" si="12"/>
        <v>0</v>
      </c>
      <c r="K49" s="2258">
        <f t="shared" si="13"/>
        <v>0</v>
      </c>
      <c r="L49" s="2258">
        <v>0</v>
      </c>
      <c r="M49" s="2258">
        <f t="shared" si="14"/>
        <v>0</v>
      </c>
      <c r="N49" s="2258">
        <f t="shared" si="14"/>
        <v>0</v>
      </c>
      <c r="O49" s="1592"/>
      <c r="P49" s="1592"/>
      <c r="Q49" s="3017"/>
      <c r="R49" s="3017"/>
      <c r="S49" s="3017"/>
      <c r="T49" s="3017"/>
      <c r="U49" s="3017"/>
      <c r="V49" s="3017"/>
      <c r="W49" s="3017"/>
      <c r="X49" s="1592"/>
      <c r="Y49" s="1592"/>
      <c r="Z49" s="1592"/>
      <c r="AA49" s="1592"/>
      <c r="AB49" s="1592"/>
      <c r="AC49" s="1592"/>
      <c r="AD49" s="1592"/>
      <c r="AE49" s="1592"/>
      <c r="AF49" s="1592"/>
      <c r="AG49" s="1592"/>
    </row>
    <row r="50" spans="1:33" s="2234" customFormat="1" ht="24">
      <c r="A50" s="2247" t="s">
        <v>2599</v>
      </c>
      <c r="B50" s="2259">
        <f>估价对象房地状况!C19</f>
        <v>0</v>
      </c>
      <c r="C50" s="2135"/>
      <c r="D50" s="2252">
        <f t="shared" si="10"/>
        <v>0</v>
      </c>
      <c r="E50" s="2260"/>
      <c r="F50" s="2254"/>
      <c r="G50" s="2255"/>
      <c r="H50" s="2256" t="str">
        <f t="shared" si="11"/>
        <v>——</v>
      </c>
      <c r="I50" s="2257">
        <v>0.05</v>
      </c>
      <c r="J50" s="2258">
        <f t="shared" si="12"/>
        <v>0</v>
      </c>
      <c r="K50" s="2258">
        <f t="shared" si="13"/>
        <v>0</v>
      </c>
      <c r="L50" s="2258">
        <v>0</v>
      </c>
      <c r="M50" s="2258">
        <f t="shared" si="14"/>
        <v>0</v>
      </c>
      <c r="N50" s="2258">
        <f t="shared" si="14"/>
        <v>0</v>
      </c>
      <c r="O50" s="1592"/>
      <c r="P50" s="1592"/>
      <c r="Q50" s="3017"/>
      <c r="R50" s="3017"/>
      <c r="S50" s="3017"/>
      <c r="T50" s="3017"/>
      <c r="U50" s="3017"/>
      <c r="V50" s="3017"/>
      <c r="W50" s="3017"/>
      <c r="X50" s="1592"/>
      <c r="Y50" s="1592"/>
      <c r="Z50" s="1592"/>
      <c r="AA50" s="1592"/>
      <c r="AB50" s="1592"/>
      <c r="AC50" s="1592"/>
      <c r="AD50" s="1592"/>
      <c r="AE50" s="1592"/>
      <c r="AF50" s="1592"/>
      <c r="AG50" s="1592"/>
    </row>
    <row r="51" spans="1:33" s="2234" customFormat="1" ht="36.75">
      <c r="A51" s="2247" t="s">
        <v>2600</v>
      </c>
      <c r="B51" s="2261" t="s">
        <v>2601</v>
      </c>
      <c r="C51" s="2135"/>
      <c r="D51" s="2252">
        <f t="shared" si="10"/>
        <v>0</v>
      </c>
      <c r="E51" s="2260"/>
      <c r="F51" s="2254"/>
      <c r="G51" s="2255"/>
      <c r="H51" s="2256" t="str">
        <f t="shared" si="11"/>
        <v>——</v>
      </c>
      <c r="I51" s="2257">
        <v>0.05</v>
      </c>
      <c r="J51" s="2258">
        <f t="shared" si="12"/>
        <v>0</v>
      </c>
      <c r="K51" s="2258">
        <f t="shared" si="13"/>
        <v>0</v>
      </c>
      <c r="L51" s="2258">
        <v>0</v>
      </c>
      <c r="M51" s="2258">
        <f t="shared" si="14"/>
        <v>0</v>
      </c>
      <c r="N51" s="2258">
        <f t="shared" si="14"/>
        <v>0</v>
      </c>
      <c r="O51" s="1592"/>
      <c r="P51" s="1592"/>
      <c r="Q51" s="3017"/>
      <c r="R51" s="3017"/>
      <c r="S51" s="3017"/>
      <c r="T51" s="3017"/>
      <c r="U51" s="3017"/>
      <c r="V51" s="3017"/>
      <c r="W51" s="3017"/>
      <c r="X51" s="1592"/>
      <c r="Y51" s="1592"/>
      <c r="Z51" s="1592"/>
      <c r="AA51" s="1592"/>
      <c r="AB51" s="1592"/>
      <c r="AC51" s="1592"/>
      <c r="AD51" s="1592"/>
      <c r="AE51" s="1592"/>
      <c r="AF51" s="1592"/>
      <c r="AG51" s="1592"/>
    </row>
    <row r="52" spans="1:33" s="2234" customFormat="1" ht="24">
      <c r="A52" s="2247" t="s">
        <v>2602</v>
      </c>
      <c r="B52" s="2259">
        <f>估价对象房地状况!C24</f>
        <v>0</v>
      </c>
      <c r="C52" s="2135"/>
      <c r="D52" s="2252">
        <f t="shared" si="10"/>
        <v>0</v>
      </c>
      <c r="E52" s="2260"/>
      <c r="F52" s="2254"/>
      <c r="G52" s="2255"/>
      <c r="H52" s="2256" t="str">
        <f t="shared" si="11"/>
        <v>——</v>
      </c>
      <c r="I52" s="2257">
        <v>0.08</v>
      </c>
      <c r="J52" s="2258">
        <f t="shared" si="12"/>
        <v>0</v>
      </c>
      <c r="K52" s="2258">
        <f t="shared" si="13"/>
        <v>0</v>
      </c>
      <c r="L52" s="2258">
        <v>0</v>
      </c>
      <c r="M52" s="2258">
        <f t="shared" si="14"/>
        <v>0</v>
      </c>
      <c r="N52" s="2258">
        <f t="shared" si="14"/>
        <v>0</v>
      </c>
      <c r="O52" s="1592"/>
      <c r="P52" s="1592"/>
      <c r="Q52" s="3017"/>
      <c r="R52" s="3017"/>
      <c r="S52" s="3017"/>
      <c r="T52" s="3017"/>
      <c r="U52" s="3017"/>
      <c r="V52" s="3017"/>
      <c r="W52" s="3017"/>
      <c r="X52" s="1592"/>
      <c r="Y52" s="1592"/>
      <c r="Z52" s="1592"/>
      <c r="AA52" s="1592"/>
      <c r="AB52" s="1592"/>
      <c r="AC52" s="1592"/>
      <c r="AD52" s="1592"/>
      <c r="AE52" s="1592"/>
      <c r="AF52" s="1592"/>
      <c r="AG52" s="1592"/>
    </row>
    <row r="53" spans="1:33" s="2234" customFormat="1" ht="24">
      <c r="A53" s="2247" t="s">
        <v>2603</v>
      </c>
      <c r="B53" s="2262" t="s">
        <v>2604</v>
      </c>
      <c r="C53" s="2135"/>
      <c r="D53" s="2252">
        <f t="shared" si="10"/>
        <v>0</v>
      </c>
      <c r="E53" s="2260"/>
      <c r="F53" s="2254"/>
      <c r="G53" s="2255"/>
      <c r="H53" s="2256" t="str">
        <f t="shared" si="11"/>
        <v>——</v>
      </c>
      <c r="I53" s="2257">
        <v>0.03</v>
      </c>
      <c r="J53" s="2258">
        <f t="shared" si="12"/>
        <v>0</v>
      </c>
      <c r="K53" s="2258">
        <f t="shared" si="13"/>
        <v>0</v>
      </c>
      <c r="L53" s="2258">
        <v>0</v>
      </c>
      <c r="M53" s="2258">
        <f t="shared" si="14"/>
        <v>0</v>
      </c>
      <c r="N53" s="2258">
        <f t="shared" si="14"/>
        <v>0</v>
      </c>
      <c r="O53" s="1592"/>
      <c r="P53" s="1592"/>
      <c r="Q53" s="3017"/>
      <c r="R53" s="3017"/>
      <c r="S53" s="3017"/>
      <c r="T53" s="3017"/>
      <c r="U53" s="3017"/>
      <c r="V53" s="3017"/>
      <c r="W53" s="3017"/>
      <c r="X53" s="1592"/>
      <c r="Y53" s="1592"/>
      <c r="Z53" s="1592"/>
      <c r="AA53" s="1592"/>
      <c r="AB53" s="1592"/>
      <c r="AC53" s="1592"/>
      <c r="AD53" s="1592"/>
      <c r="AE53" s="1592"/>
      <c r="AF53" s="1592"/>
      <c r="AG53" s="1592"/>
    </row>
    <row r="54" spans="1:33" s="2234" customFormat="1" ht="25.5">
      <c r="A54" s="2263" t="s">
        <v>2605</v>
      </c>
      <c r="B54" s="2264" t="str">
        <f>估价对象房地状况!C21</f>
        <v>估价对象所在区域公共配套设施齐备情况</v>
      </c>
      <c r="C54" s="2135"/>
      <c r="D54" s="2252">
        <f t="shared" si="10"/>
        <v>0</v>
      </c>
      <c r="E54" s="2260"/>
      <c r="F54" s="2254"/>
      <c r="G54" s="2255"/>
      <c r="H54" s="2256" t="str">
        <f t="shared" si="11"/>
        <v>——</v>
      </c>
      <c r="I54" s="2257">
        <v>0.05</v>
      </c>
      <c r="J54" s="2258">
        <f t="shared" si="12"/>
        <v>0</v>
      </c>
      <c r="K54" s="2258">
        <f t="shared" si="13"/>
        <v>0</v>
      </c>
      <c r="L54" s="2258">
        <v>0</v>
      </c>
      <c r="M54" s="2258">
        <f t="shared" si="14"/>
        <v>0</v>
      </c>
      <c r="N54" s="2258">
        <f t="shared" si="14"/>
        <v>0</v>
      </c>
      <c r="O54" s="1592"/>
      <c r="P54" s="1592"/>
      <c r="Q54" s="3017"/>
      <c r="R54" s="3017"/>
      <c r="S54" s="3017"/>
      <c r="T54" s="3017"/>
      <c r="U54" s="3017"/>
      <c r="V54" s="3017"/>
      <c r="W54" s="3017"/>
      <c r="X54" s="1592"/>
      <c r="Y54" s="1592"/>
      <c r="Z54" s="1592"/>
      <c r="AA54" s="1592"/>
      <c r="AB54" s="1592"/>
      <c r="AC54" s="1592"/>
      <c r="AD54" s="1592"/>
      <c r="AE54" s="1592"/>
      <c r="AF54" s="1592"/>
      <c r="AG54" s="1592"/>
    </row>
    <row r="55" spans="1:33" s="2234" customFormat="1" ht="25.5">
      <c r="A55" s="2263" t="s">
        <v>2606</v>
      </c>
      <c r="B55" s="2259" t="str">
        <f>估价对象房地状况!C22</f>
        <v>估价对象所在区域基础设施水平</v>
      </c>
      <c r="C55" s="2135"/>
      <c r="D55" s="2252">
        <f t="shared" si="10"/>
        <v>0</v>
      </c>
      <c r="E55" s="2260"/>
      <c r="F55" s="2254"/>
      <c r="G55" s="2255"/>
      <c r="H55" s="2256" t="str">
        <f t="shared" si="11"/>
        <v>——</v>
      </c>
      <c r="I55" s="2257">
        <v>0.1</v>
      </c>
      <c r="J55" s="2258">
        <f t="shared" si="12"/>
        <v>0</v>
      </c>
      <c r="K55" s="2258">
        <f t="shared" si="13"/>
        <v>0</v>
      </c>
      <c r="L55" s="2258">
        <v>0</v>
      </c>
      <c r="M55" s="2258">
        <f t="shared" si="14"/>
        <v>0</v>
      </c>
      <c r="N55" s="2258">
        <f t="shared" si="14"/>
        <v>0</v>
      </c>
      <c r="O55" s="1592"/>
      <c r="P55" s="1592"/>
      <c r="Q55" s="3017"/>
      <c r="R55" s="3017"/>
      <c r="S55" s="3017"/>
      <c r="T55" s="3017"/>
      <c r="U55" s="3017"/>
      <c r="V55" s="3017"/>
      <c r="W55" s="3017"/>
      <c r="X55" s="1592"/>
      <c r="Y55" s="1592"/>
      <c r="Z55" s="1592"/>
      <c r="AA55" s="1592"/>
      <c r="AB55" s="1592"/>
      <c r="AC55" s="1592"/>
      <c r="AD55" s="1592"/>
      <c r="AE55" s="1592"/>
      <c r="AF55" s="1592"/>
      <c r="AG55" s="1592"/>
    </row>
    <row r="56" spans="1:33" s="2234" customFormat="1" ht="39" thickBot="1">
      <c r="A56" s="2265" t="s">
        <v>2607</v>
      </c>
      <c r="B56" s="2266" t="str">
        <f>估价对象房地状况!C20</f>
        <v>区域自然环境：；人文环境；综合评价环境状况一般</v>
      </c>
      <c r="C56" s="2135"/>
      <c r="D56" s="2252">
        <f t="shared" si="10"/>
        <v>0</v>
      </c>
      <c r="E56" s="2267"/>
      <c r="F56" s="2254"/>
      <c r="G56" s="2255"/>
      <c r="H56" s="2256" t="str">
        <f t="shared" si="11"/>
        <v>——</v>
      </c>
      <c r="I56" s="2268">
        <v>0.06</v>
      </c>
      <c r="J56" s="2258">
        <f t="shared" si="12"/>
        <v>0</v>
      </c>
      <c r="K56" s="2258">
        <f t="shared" si="13"/>
        <v>0</v>
      </c>
      <c r="L56" s="2258">
        <v>0</v>
      </c>
      <c r="M56" s="2258">
        <f t="shared" si="14"/>
        <v>0</v>
      </c>
      <c r="N56" s="2258">
        <f t="shared" si="14"/>
        <v>0</v>
      </c>
      <c r="O56" s="1592"/>
      <c r="P56" s="1592"/>
      <c r="Q56" s="3017"/>
      <c r="R56" s="3017"/>
      <c r="S56" s="3017"/>
      <c r="T56" s="3017"/>
      <c r="U56" s="3017"/>
      <c r="V56" s="3017"/>
      <c r="W56" s="3017"/>
      <c r="X56" s="1592"/>
      <c r="Y56" s="1592"/>
      <c r="Z56" s="1592"/>
      <c r="AA56" s="1592"/>
      <c r="AB56" s="1592"/>
      <c r="AC56" s="1592"/>
      <c r="AD56" s="1592"/>
      <c r="AE56" s="1592"/>
      <c r="AF56" s="1592"/>
      <c r="AG56" s="1592"/>
    </row>
    <row r="57" spans="1:33" s="2234" customFormat="1" ht="15">
      <c r="A57" s="2240" t="s">
        <v>2608</v>
      </c>
      <c r="B57" s="2269">
        <f>1+E59</f>
        <v>1</v>
      </c>
      <c r="C57" s="2243"/>
      <c r="D57" s="2243"/>
      <c r="E57" s="2244"/>
      <c r="F57" s="2245"/>
      <c r="G57" s="608"/>
      <c r="H57" s="608"/>
      <c r="I57" s="608"/>
      <c r="J57" s="608"/>
      <c r="K57" s="608"/>
      <c r="L57" s="608"/>
      <c r="M57" s="608"/>
      <c r="N57" s="608"/>
      <c r="O57" s="1592"/>
      <c r="P57" s="1592"/>
      <c r="Q57" s="3017"/>
      <c r="R57" s="3017"/>
      <c r="S57" s="3017"/>
      <c r="T57" s="3017"/>
      <c r="U57" s="3017"/>
      <c r="V57" s="3017"/>
      <c r="W57" s="3017"/>
      <c r="X57" s="1592"/>
      <c r="Y57" s="1592"/>
      <c r="Z57" s="1592"/>
      <c r="AA57" s="1592"/>
      <c r="AB57" s="1592"/>
      <c r="AC57" s="1592"/>
      <c r="AD57" s="1592"/>
      <c r="AE57" s="1592"/>
      <c r="AF57" s="1592"/>
      <c r="AG57" s="1592"/>
    </row>
    <row r="58" spans="1:33" s="2234" customFormat="1" ht="24.75">
      <c r="A58" s="2247" t="s">
        <v>2583</v>
      </c>
      <c r="B58" s="2259"/>
      <c r="C58" s="2248" t="s">
        <v>2585</v>
      </c>
      <c r="D58" s="2248" t="s">
        <v>2586</v>
      </c>
      <c r="E58" s="2249" t="s">
        <v>2587</v>
      </c>
      <c r="F58" s="2199" t="s">
        <v>2588</v>
      </c>
      <c r="G58" s="2248" t="s">
        <v>2609</v>
      </c>
      <c r="H58" s="2250" t="s">
        <v>2610</v>
      </c>
      <c r="I58" s="2248" t="s">
        <v>2611</v>
      </c>
      <c r="J58" s="1875" t="s">
        <v>2251</v>
      </c>
      <c r="K58" s="1875" t="s">
        <v>2252</v>
      </c>
      <c r="L58" s="1875" t="s">
        <v>2253</v>
      </c>
      <c r="M58" s="1875" t="s">
        <v>2254</v>
      </c>
      <c r="N58" s="1875" t="s">
        <v>2255</v>
      </c>
      <c r="O58" s="1592"/>
      <c r="P58" s="1592"/>
      <c r="Q58" s="3017"/>
      <c r="R58" s="3017"/>
      <c r="S58" s="3017"/>
      <c r="T58" s="3017"/>
      <c r="U58" s="3017"/>
      <c r="V58" s="3017"/>
      <c r="W58" s="3017"/>
      <c r="X58" s="1592"/>
      <c r="Y58" s="1592"/>
      <c r="Z58" s="1592"/>
      <c r="AA58" s="1592"/>
      <c r="AB58" s="1592"/>
      <c r="AC58" s="1592"/>
      <c r="AD58" s="1592"/>
      <c r="AE58" s="1592"/>
      <c r="AF58" s="1592"/>
      <c r="AG58" s="1592"/>
    </row>
    <row r="59" spans="1:33" s="2234" customFormat="1" ht="38.25">
      <c r="A59" s="2247" t="s">
        <v>2612</v>
      </c>
      <c r="B59" s="2251" t="str">
        <f>估价对象房地状况!C17</f>
        <v>估价对象位于XX商圈，周边办公楼项目较多，入驻率高，办公集聚程度较好</v>
      </c>
      <c r="C59" s="2135"/>
      <c r="D59" s="2252">
        <f t="shared" ref="D59:D67" si="15">SUMIF($J$58:$N$58,C59,J59:N59)</f>
        <v>0</v>
      </c>
      <c r="E59" s="2253">
        <f>ROUND(SUM(D59:D67),4)</f>
        <v>0</v>
      </c>
      <c r="F59" s="2254" t="str">
        <f>IF(E2="办公",SUMIF(L1:L12,G2,N1:N12),"——")</f>
        <v>——</v>
      </c>
      <c r="G59" s="2255"/>
      <c r="H59" s="2256" t="str">
        <f t="shared" ref="H59:H67" si="16">IFERROR(ROUNDDOWN($F$59*I59/2,4),"——")</f>
        <v>——</v>
      </c>
      <c r="I59" s="2257">
        <v>0.24</v>
      </c>
      <c r="J59" s="2258">
        <f t="shared" ref="J59:J67" si="17">K59+$G59</f>
        <v>0</v>
      </c>
      <c r="K59" s="2258">
        <f t="shared" ref="K59:K67" si="18">$L59+$G59</f>
        <v>0</v>
      </c>
      <c r="L59" s="2258">
        <v>0</v>
      </c>
      <c r="M59" s="2258">
        <f t="shared" ref="M59:N67" si="19">L59-$G59</f>
        <v>0</v>
      </c>
      <c r="N59" s="2258">
        <f t="shared" si="19"/>
        <v>0</v>
      </c>
      <c r="O59" s="1592"/>
      <c r="P59" s="1592"/>
      <c r="Q59" s="3017"/>
      <c r="R59" s="3017"/>
      <c r="S59" s="3017"/>
      <c r="T59" s="3017"/>
      <c r="U59" s="3017"/>
      <c r="V59" s="3017"/>
      <c r="W59" s="3017"/>
      <c r="X59" s="1592"/>
      <c r="Y59" s="1592"/>
      <c r="Z59" s="1592"/>
      <c r="AA59" s="1592"/>
      <c r="AB59" s="1592"/>
      <c r="AC59" s="1592"/>
      <c r="AD59" s="1592"/>
      <c r="AE59" s="1592"/>
      <c r="AF59" s="1592"/>
      <c r="AG59" s="1592"/>
    </row>
    <row r="60" spans="1:33" s="2234" customFormat="1" ht="51">
      <c r="A60" s="2247" t="s">
        <v>2598</v>
      </c>
      <c r="B60" s="2259" t="str">
        <f>估价对象房地状况!C18</f>
        <v>估价对象周边道路状况、公共交通通达情况、停车便捷程度，综合评价交通便捷度较好</v>
      </c>
      <c r="C60" s="2135"/>
      <c r="D60" s="2252">
        <f t="shared" si="15"/>
        <v>0</v>
      </c>
      <c r="E60" s="2260"/>
      <c r="F60" s="2254"/>
      <c r="G60" s="2255"/>
      <c r="H60" s="2256" t="str">
        <f t="shared" si="16"/>
        <v>——</v>
      </c>
      <c r="I60" s="2257">
        <v>0.3</v>
      </c>
      <c r="J60" s="2258">
        <f t="shared" si="17"/>
        <v>0</v>
      </c>
      <c r="K60" s="2258">
        <f t="shared" si="18"/>
        <v>0</v>
      </c>
      <c r="L60" s="2258">
        <v>0</v>
      </c>
      <c r="M60" s="2258">
        <f t="shared" si="19"/>
        <v>0</v>
      </c>
      <c r="N60" s="2258">
        <f t="shared" si="19"/>
        <v>0</v>
      </c>
      <c r="O60" s="1592"/>
      <c r="P60" s="1592"/>
      <c r="Q60" s="3017"/>
      <c r="R60" s="3017"/>
      <c r="S60" s="3017"/>
      <c r="T60" s="3017"/>
      <c r="U60" s="3017"/>
      <c r="V60" s="3017"/>
      <c r="W60" s="3017"/>
      <c r="X60" s="1592"/>
      <c r="Y60" s="1592"/>
      <c r="Z60" s="1592"/>
      <c r="AA60" s="1592"/>
      <c r="AB60" s="1592"/>
      <c r="AC60" s="1592"/>
      <c r="AD60" s="1592"/>
      <c r="AE60" s="1592"/>
      <c r="AF60" s="1592"/>
      <c r="AG60" s="1592"/>
    </row>
    <row r="61" spans="1:33" s="2234" customFormat="1" ht="24">
      <c r="A61" s="2247" t="s">
        <v>2599</v>
      </c>
      <c r="B61" s="2259">
        <f>估价对象房地状况!C19</f>
        <v>0</v>
      </c>
      <c r="C61" s="2135"/>
      <c r="D61" s="2252">
        <f t="shared" si="15"/>
        <v>0</v>
      </c>
      <c r="E61" s="2260"/>
      <c r="F61" s="2254"/>
      <c r="G61" s="2255"/>
      <c r="H61" s="2256" t="str">
        <f t="shared" si="16"/>
        <v>——</v>
      </c>
      <c r="I61" s="2257">
        <v>0.08</v>
      </c>
      <c r="J61" s="2258">
        <f t="shared" si="17"/>
        <v>0</v>
      </c>
      <c r="K61" s="2258">
        <f t="shared" si="18"/>
        <v>0</v>
      </c>
      <c r="L61" s="2258">
        <v>0</v>
      </c>
      <c r="M61" s="2258">
        <f t="shared" si="19"/>
        <v>0</v>
      </c>
      <c r="N61" s="2258">
        <f t="shared" si="19"/>
        <v>0</v>
      </c>
      <c r="O61" s="1592"/>
      <c r="P61" s="1592"/>
      <c r="Q61" s="3017"/>
      <c r="R61" s="3017"/>
      <c r="S61" s="3017"/>
      <c r="T61" s="3017"/>
      <c r="U61" s="3017"/>
      <c r="V61" s="3017"/>
      <c r="W61" s="3017"/>
      <c r="X61" s="1592"/>
      <c r="Y61" s="1592"/>
      <c r="Z61" s="1592"/>
      <c r="AA61" s="1592"/>
      <c r="AB61" s="1592"/>
      <c r="AC61" s="1592"/>
      <c r="AD61" s="1592"/>
      <c r="AE61" s="1592"/>
      <c r="AF61" s="1592"/>
      <c r="AG61" s="1592"/>
    </row>
    <row r="62" spans="1:33" s="2234" customFormat="1" ht="36.75">
      <c r="A62" s="2247" t="s">
        <v>2600</v>
      </c>
      <c r="B62" s="2261" t="s">
        <v>2601</v>
      </c>
      <c r="C62" s="2135"/>
      <c r="D62" s="2252">
        <f t="shared" si="15"/>
        <v>0</v>
      </c>
      <c r="E62" s="2260"/>
      <c r="F62" s="2254"/>
      <c r="G62" s="2255"/>
      <c r="H62" s="2256" t="str">
        <f t="shared" si="16"/>
        <v>——</v>
      </c>
      <c r="I62" s="2257">
        <v>0.04</v>
      </c>
      <c r="J62" s="2258">
        <f t="shared" si="17"/>
        <v>0</v>
      </c>
      <c r="K62" s="2258">
        <f t="shared" si="18"/>
        <v>0</v>
      </c>
      <c r="L62" s="2258">
        <v>0</v>
      </c>
      <c r="M62" s="2258">
        <f t="shared" si="19"/>
        <v>0</v>
      </c>
      <c r="N62" s="2258">
        <f t="shared" si="19"/>
        <v>0</v>
      </c>
      <c r="O62" s="1592"/>
      <c r="P62" s="1592"/>
      <c r="Q62" s="3017"/>
      <c r="R62" s="3017"/>
      <c r="S62" s="3017"/>
      <c r="T62" s="3017"/>
      <c r="U62" s="3017"/>
      <c r="V62" s="3017"/>
      <c r="W62" s="3017"/>
      <c r="X62" s="1592"/>
      <c r="Y62" s="1592"/>
      <c r="Z62" s="1592"/>
      <c r="AA62" s="1592"/>
      <c r="AB62" s="1592"/>
      <c r="AC62" s="1592"/>
      <c r="AD62" s="1592"/>
      <c r="AE62" s="1592"/>
      <c r="AF62" s="1592"/>
      <c r="AG62" s="1592"/>
    </row>
    <row r="63" spans="1:33" s="2234" customFormat="1" ht="24">
      <c r="A63" s="2247" t="s">
        <v>2602</v>
      </c>
      <c r="B63" s="2259">
        <f>估价对象房地状况!C24</f>
        <v>0</v>
      </c>
      <c r="C63" s="2135"/>
      <c r="D63" s="2252">
        <f t="shared" si="15"/>
        <v>0</v>
      </c>
      <c r="E63" s="2260"/>
      <c r="F63" s="2254"/>
      <c r="G63" s="2255"/>
      <c r="H63" s="2256" t="str">
        <f t="shared" si="16"/>
        <v>——</v>
      </c>
      <c r="I63" s="2257">
        <v>0.05</v>
      </c>
      <c r="J63" s="2258">
        <f t="shared" si="17"/>
        <v>0</v>
      </c>
      <c r="K63" s="2258">
        <f t="shared" si="18"/>
        <v>0</v>
      </c>
      <c r="L63" s="2258">
        <v>0</v>
      </c>
      <c r="M63" s="2258">
        <f t="shared" si="19"/>
        <v>0</v>
      </c>
      <c r="N63" s="2258">
        <f t="shared" si="19"/>
        <v>0</v>
      </c>
      <c r="O63" s="1592"/>
      <c r="P63" s="1592"/>
      <c r="Q63" s="3017"/>
      <c r="R63" s="3017"/>
      <c r="S63" s="3017"/>
      <c r="T63" s="3017"/>
      <c r="U63" s="3017"/>
      <c r="V63" s="3017"/>
      <c r="W63" s="3017"/>
      <c r="X63" s="1592"/>
      <c r="Y63" s="1592"/>
      <c r="Z63" s="1592"/>
      <c r="AA63" s="1592"/>
      <c r="AB63" s="1592"/>
      <c r="AC63" s="1592"/>
      <c r="AD63" s="1592"/>
      <c r="AE63" s="1592"/>
      <c r="AF63" s="1592"/>
      <c r="AG63" s="1592"/>
    </row>
    <row r="64" spans="1:33" s="2234" customFormat="1" ht="24">
      <c r="A64" s="2247" t="s">
        <v>2603</v>
      </c>
      <c r="B64" s="2262" t="s">
        <v>2604</v>
      </c>
      <c r="C64" s="2135"/>
      <c r="D64" s="2252">
        <f t="shared" si="15"/>
        <v>0</v>
      </c>
      <c r="E64" s="2260"/>
      <c r="F64" s="2254"/>
      <c r="G64" s="2255"/>
      <c r="H64" s="2256" t="str">
        <f t="shared" si="16"/>
        <v>——</v>
      </c>
      <c r="I64" s="2257">
        <v>0.05</v>
      </c>
      <c r="J64" s="2258">
        <f t="shared" si="17"/>
        <v>0</v>
      </c>
      <c r="K64" s="2258">
        <f t="shared" si="18"/>
        <v>0</v>
      </c>
      <c r="L64" s="2258">
        <v>0</v>
      </c>
      <c r="M64" s="2258">
        <f t="shared" si="19"/>
        <v>0</v>
      </c>
      <c r="N64" s="2258">
        <f t="shared" si="19"/>
        <v>0</v>
      </c>
      <c r="O64" s="1592"/>
      <c r="P64" s="1592"/>
      <c r="Q64" s="3017"/>
      <c r="R64" s="3017"/>
      <c r="S64" s="3017"/>
      <c r="T64" s="3017"/>
      <c r="U64" s="3017"/>
      <c r="V64" s="3017"/>
      <c r="W64" s="3017"/>
      <c r="X64" s="1592"/>
      <c r="Y64" s="1592"/>
      <c r="Z64" s="1592"/>
      <c r="AA64" s="1592"/>
      <c r="AB64" s="1592"/>
      <c r="AC64" s="1592"/>
      <c r="AD64" s="1592"/>
      <c r="AE64" s="1592"/>
      <c r="AF64" s="1592"/>
      <c r="AG64" s="1592"/>
    </row>
    <row r="65" spans="1:33" s="2234" customFormat="1" ht="25.5">
      <c r="A65" s="2247" t="s">
        <v>2605</v>
      </c>
      <c r="B65" s="2264" t="str">
        <f>估价对象房地状况!C21</f>
        <v>估价对象所在区域公共配套设施齐备情况</v>
      </c>
      <c r="C65" s="2135"/>
      <c r="D65" s="2252">
        <f t="shared" si="15"/>
        <v>0</v>
      </c>
      <c r="E65" s="2260"/>
      <c r="F65" s="2254"/>
      <c r="G65" s="2255"/>
      <c r="H65" s="2256" t="str">
        <f t="shared" si="16"/>
        <v>——</v>
      </c>
      <c r="I65" s="2257">
        <v>0.06</v>
      </c>
      <c r="J65" s="2258">
        <f t="shared" si="17"/>
        <v>0</v>
      </c>
      <c r="K65" s="2258">
        <f t="shared" si="18"/>
        <v>0</v>
      </c>
      <c r="L65" s="2258">
        <v>0</v>
      </c>
      <c r="M65" s="2258">
        <f t="shared" si="19"/>
        <v>0</v>
      </c>
      <c r="N65" s="2258">
        <f t="shared" si="19"/>
        <v>0</v>
      </c>
      <c r="O65" s="1592"/>
      <c r="P65" s="1592"/>
      <c r="Q65" s="3017"/>
      <c r="R65" s="3017"/>
      <c r="S65" s="3017"/>
      <c r="T65" s="3017"/>
      <c r="U65" s="3017"/>
      <c r="V65" s="3017"/>
      <c r="W65" s="3017"/>
      <c r="X65" s="1592"/>
      <c r="Y65" s="1592"/>
      <c r="Z65" s="1592"/>
      <c r="AA65" s="1592"/>
      <c r="AB65" s="1592"/>
      <c r="AC65" s="1592"/>
      <c r="AD65" s="1592"/>
      <c r="AE65" s="1592"/>
      <c r="AF65" s="1592"/>
      <c r="AG65" s="1592"/>
    </row>
    <row r="66" spans="1:33" s="2234" customFormat="1" ht="25.5">
      <c r="A66" s="2247" t="s">
        <v>2606</v>
      </c>
      <c r="B66" s="2264" t="str">
        <f>估价对象房地状况!C22</f>
        <v>估价对象所在区域基础设施水平</v>
      </c>
      <c r="C66" s="2135"/>
      <c r="D66" s="2252">
        <f t="shared" si="15"/>
        <v>0</v>
      </c>
      <c r="E66" s="2260"/>
      <c r="F66" s="2254"/>
      <c r="G66" s="2255"/>
      <c r="H66" s="2256" t="str">
        <f t="shared" si="16"/>
        <v>——</v>
      </c>
      <c r="I66" s="2257">
        <v>0.12</v>
      </c>
      <c r="J66" s="2258">
        <f t="shared" si="17"/>
        <v>0</v>
      </c>
      <c r="K66" s="2258">
        <f t="shared" si="18"/>
        <v>0</v>
      </c>
      <c r="L66" s="2258">
        <v>0</v>
      </c>
      <c r="M66" s="2258">
        <f t="shared" si="19"/>
        <v>0</v>
      </c>
      <c r="N66" s="2258">
        <f t="shared" si="19"/>
        <v>0</v>
      </c>
      <c r="O66" s="1592"/>
      <c r="P66" s="1592"/>
      <c r="Q66" s="3017"/>
      <c r="R66" s="3017"/>
      <c r="S66" s="3017"/>
      <c r="T66" s="3017"/>
      <c r="U66" s="3017"/>
      <c r="V66" s="3017"/>
      <c r="W66" s="3017"/>
      <c r="X66" s="1592"/>
      <c r="Y66" s="1592"/>
      <c r="Z66" s="1592"/>
      <c r="AA66" s="1592"/>
      <c r="AB66" s="1592"/>
      <c r="AC66" s="1592"/>
      <c r="AD66" s="1592"/>
      <c r="AE66" s="1592"/>
      <c r="AF66" s="1592"/>
      <c r="AG66" s="1592"/>
    </row>
    <row r="67" spans="1:33" s="2234" customFormat="1" ht="39" thickBot="1">
      <c r="A67" s="2265" t="s">
        <v>2607</v>
      </c>
      <c r="B67" s="2270" t="str">
        <f>估价对象房地状况!C20</f>
        <v>区域自然环境：；人文环境；综合评价环境状况一般</v>
      </c>
      <c r="C67" s="2135"/>
      <c r="D67" s="2252">
        <f t="shared" si="15"/>
        <v>0</v>
      </c>
      <c r="E67" s="2267"/>
      <c r="F67" s="2254"/>
      <c r="G67" s="2255"/>
      <c r="H67" s="2256" t="str">
        <f t="shared" si="16"/>
        <v>——</v>
      </c>
      <c r="I67" s="2268">
        <v>0.06</v>
      </c>
      <c r="J67" s="2258">
        <f t="shared" si="17"/>
        <v>0</v>
      </c>
      <c r="K67" s="2258">
        <f t="shared" si="18"/>
        <v>0</v>
      </c>
      <c r="L67" s="2258">
        <v>0</v>
      </c>
      <c r="M67" s="2258">
        <f t="shared" si="19"/>
        <v>0</v>
      </c>
      <c r="N67" s="2258">
        <f t="shared" si="19"/>
        <v>0</v>
      </c>
      <c r="O67" s="1592"/>
      <c r="P67" s="1592"/>
      <c r="Q67" s="3017"/>
      <c r="R67" s="3017"/>
      <c r="S67" s="3017"/>
      <c r="T67" s="3017"/>
      <c r="U67" s="3017"/>
      <c r="V67" s="3017"/>
      <c r="W67" s="3017"/>
      <c r="X67" s="1592"/>
      <c r="Y67" s="1592"/>
      <c r="Z67" s="1592"/>
      <c r="AA67" s="1592"/>
      <c r="AB67" s="1592"/>
      <c r="AC67" s="1592"/>
      <c r="AD67" s="1592"/>
      <c r="AE67" s="1592"/>
      <c r="AF67" s="1592"/>
      <c r="AG67" s="1592"/>
    </row>
    <row r="68" spans="1:33" s="2234" customFormat="1" ht="15">
      <c r="A68" s="2240" t="s">
        <v>2613</v>
      </c>
      <c r="B68" s="2269">
        <f>1+E70</f>
        <v>1</v>
      </c>
      <c r="C68" s="2243"/>
      <c r="D68" s="2243"/>
      <c r="E68" s="2244"/>
      <c r="F68" s="2245"/>
      <c r="G68" s="608"/>
      <c r="H68" s="608"/>
      <c r="I68" s="608"/>
      <c r="J68" s="608"/>
      <c r="K68" s="608"/>
      <c r="L68" s="608"/>
      <c r="M68" s="608"/>
      <c r="N68" s="608"/>
      <c r="O68" s="1592"/>
      <c r="P68" s="1592"/>
      <c r="Q68" s="3017"/>
      <c r="R68" s="3017"/>
      <c r="S68" s="3017"/>
      <c r="T68" s="3017"/>
      <c r="U68" s="3017"/>
      <c r="V68" s="3017"/>
      <c r="W68" s="3017"/>
      <c r="X68" s="1592"/>
      <c r="Y68" s="1592"/>
      <c r="Z68" s="1592"/>
      <c r="AA68" s="1592"/>
      <c r="AB68" s="1592"/>
      <c r="AC68" s="1592"/>
      <c r="AD68" s="1592"/>
      <c r="AE68" s="1592"/>
      <c r="AF68" s="1592"/>
      <c r="AG68" s="1592"/>
    </row>
    <row r="69" spans="1:33" s="2234" customFormat="1" ht="24.75">
      <c r="A69" s="2247" t="s">
        <v>2583</v>
      </c>
      <c r="B69" s="2259"/>
      <c r="C69" s="2248" t="s">
        <v>2585</v>
      </c>
      <c r="D69" s="2248" t="s">
        <v>2586</v>
      </c>
      <c r="E69" s="2249" t="s">
        <v>2587</v>
      </c>
      <c r="F69" s="2199" t="s">
        <v>2588</v>
      </c>
      <c r="G69" s="2248" t="s">
        <v>2609</v>
      </c>
      <c r="H69" s="2250" t="s">
        <v>2610</v>
      </c>
      <c r="I69" s="2248" t="s">
        <v>2611</v>
      </c>
      <c r="J69" s="1875" t="s">
        <v>2251</v>
      </c>
      <c r="K69" s="1875" t="s">
        <v>2252</v>
      </c>
      <c r="L69" s="1875" t="s">
        <v>2253</v>
      </c>
      <c r="M69" s="1875" t="s">
        <v>2254</v>
      </c>
      <c r="N69" s="1875" t="s">
        <v>2255</v>
      </c>
      <c r="O69" s="1592"/>
      <c r="P69" s="1592"/>
      <c r="Q69" s="3017"/>
      <c r="R69" s="3017"/>
      <c r="S69" s="3017"/>
      <c r="T69" s="3017"/>
      <c r="U69" s="3017"/>
      <c r="V69" s="3017"/>
      <c r="W69" s="3017"/>
      <c r="X69" s="1592"/>
      <c r="Y69" s="1592"/>
      <c r="Z69" s="1592"/>
      <c r="AA69" s="1592"/>
      <c r="AB69" s="1592"/>
      <c r="AC69" s="1592"/>
      <c r="AD69" s="1592"/>
      <c r="AE69" s="1592"/>
      <c r="AF69" s="1592"/>
      <c r="AG69" s="1592"/>
    </row>
    <row r="70" spans="1:33" s="2234" customFormat="1" ht="51">
      <c r="A70" s="2247" t="s">
        <v>2614</v>
      </c>
      <c r="B70" s="2251" t="str">
        <f>估价对象房地状况!C15</f>
        <v>估价对象周边居住用地比例、居住小区规模和社区发展完善程度，综合评价居住社区成熟度一般</v>
      </c>
      <c r="C70" s="2135"/>
      <c r="D70" s="2252">
        <f t="shared" ref="D70:D78" si="20">SUMIF($J$69:$N$69,C70,J70:N70)</f>
        <v>0</v>
      </c>
      <c r="E70" s="2253">
        <f>ROUND(SUM(D70:D78),4)</f>
        <v>0</v>
      </c>
      <c r="F70" s="2254" t="str">
        <f>IF(E2="住宅",SUMIF(L1:L12,G2,N1:N12),"——")</f>
        <v>——</v>
      </c>
      <c r="G70" s="2255"/>
      <c r="H70" s="2256" t="str">
        <f t="shared" ref="H70:H78" si="21">IFERROR(ROUNDDOWN($F$70*I70/2,4),"——")</f>
        <v>——</v>
      </c>
      <c r="I70" s="2257">
        <v>0.14000000000000001</v>
      </c>
      <c r="J70" s="2258">
        <f t="shared" ref="J70:J78" si="22">K70+$G70</f>
        <v>0</v>
      </c>
      <c r="K70" s="2258">
        <f t="shared" ref="K70:K78" si="23">$L70+$G70</f>
        <v>0</v>
      </c>
      <c r="L70" s="2258">
        <v>0</v>
      </c>
      <c r="M70" s="2258">
        <f t="shared" ref="M70:N78" si="24">L70-$G70</f>
        <v>0</v>
      </c>
      <c r="N70" s="2258">
        <f t="shared" si="24"/>
        <v>0</v>
      </c>
      <c r="O70" s="1592"/>
      <c r="P70" s="1592"/>
      <c r="Q70" s="3017"/>
      <c r="R70" s="3017"/>
      <c r="S70" s="3017"/>
      <c r="T70" s="3017"/>
      <c r="U70" s="3017"/>
      <c r="V70" s="3017"/>
      <c r="W70" s="3017"/>
      <c r="X70" s="1592"/>
      <c r="Y70" s="1592"/>
      <c r="Z70" s="1592"/>
      <c r="AA70" s="1592"/>
      <c r="AB70" s="1592"/>
      <c r="AC70" s="1592"/>
      <c r="AD70" s="1592"/>
      <c r="AE70" s="1592"/>
      <c r="AF70" s="1592"/>
      <c r="AG70" s="1592"/>
    </row>
    <row r="71" spans="1:33" s="2234" customFormat="1" ht="51">
      <c r="A71" s="2247" t="s">
        <v>2598</v>
      </c>
      <c r="B71" s="2259" t="str">
        <f>估价对象房地状况!C18</f>
        <v>估价对象周边道路状况、公共交通通达情况、停车便捷程度，综合评价交通便捷度较好</v>
      </c>
      <c r="C71" s="2135"/>
      <c r="D71" s="2252">
        <f t="shared" si="20"/>
        <v>0</v>
      </c>
      <c r="E71" s="2260"/>
      <c r="F71" s="2254"/>
      <c r="G71" s="2255"/>
      <c r="H71" s="2256" t="str">
        <f t="shared" si="21"/>
        <v>——</v>
      </c>
      <c r="I71" s="2257">
        <v>0.3</v>
      </c>
      <c r="J71" s="2258">
        <f t="shared" si="22"/>
        <v>0</v>
      </c>
      <c r="K71" s="2258">
        <f t="shared" si="23"/>
        <v>0</v>
      </c>
      <c r="L71" s="2258">
        <v>0</v>
      </c>
      <c r="M71" s="2258">
        <f t="shared" si="24"/>
        <v>0</v>
      </c>
      <c r="N71" s="2258">
        <f t="shared" si="24"/>
        <v>0</v>
      </c>
      <c r="O71" s="1592"/>
      <c r="P71" s="1592"/>
      <c r="Q71" s="3017"/>
      <c r="R71" s="3017"/>
      <c r="S71" s="3017"/>
      <c r="T71" s="3017"/>
      <c r="U71" s="3017"/>
      <c r="V71" s="3017"/>
      <c r="W71" s="3017"/>
      <c r="X71" s="1592"/>
      <c r="Y71" s="1592"/>
      <c r="Z71" s="1592"/>
      <c r="AA71" s="1592"/>
      <c r="AB71" s="1592"/>
      <c r="AC71" s="1592"/>
      <c r="AD71" s="1592"/>
      <c r="AE71" s="1592"/>
      <c r="AF71" s="1592"/>
      <c r="AG71" s="1592"/>
    </row>
    <row r="72" spans="1:33" s="2234" customFormat="1" ht="24">
      <c r="A72" s="2247" t="s">
        <v>2599</v>
      </c>
      <c r="B72" s="2259">
        <f>估价对象房地状况!C19</f>
        <v>0</v>
      </c>
      <c r="C72" s="2135"/>
      <c r="D72" s="2252">
        <f t="shared" si="20"/>
        <v>0</v>
      </c>
      <c r="E72" s="2260"/>
      <c r="F72" s="2254"/>
      <c r="G72" s="2255"/>
      <c r="H72" s="2256" t="str">
        <f t="shared" si="21"/>
        <v>——</v>
      </c>
      <c r="I72" s="2257">
        <v>0.08</v>
      </c>
      <c r="J72" s="2258">
        <f t="shared" si="22"/>
        <v>0</v>
      </c>
      <c r="K72" s="2258">
        <f t="shared" si="23"/>
        <v>0</v>
      </c>
      <c r="L72" s="2258">
        <v>0</v>
      </c>
      <c r="M72" s="2258">
        <f t="shared" si="24"/>
        <v>0</v>
      </c>
      <c r="N72" s="2258">
        <f t="shared" si="24"/>
        <v>0</v>
      </c>
      <c r="O72" s="1592"/>
      <c r="P72" s="1592"/>
      <c r="Q72" s="3017"/>
      <c r="R72" s="3017"/>
      <c r="S72" s="3017"/>
      <c r="T72" s="3017"/>
      <c r="U72" s="3017"/>
      <c r="V72" s="3017"/>
      <c r="W72" s="3017"/>
      <c r="X72" s="1592"/>
      <c r="Y72" s="1592"/>
      <c r="Z72" s="1592"/>
      <c r="AA72" s="1592"/>
      <c r="AB72" s="1592"/>
      <c r="AC72" s="1592"/>
      <c r="AD72" s="1592"/>
      <c r="AE72" s="1592"/>
      <c r="AF72" s="1592"/>
      <c r="AG72" s="1592"/>
    </row>
    <row r="73" spans="1:33" s="2234" customFormat="1" ht="14.25">
      <c r="A73" s="2247" t="s">
        <v>2615</v>
      </c>
      <c r="B73" s="2259">
        <f>估价对象房地状况!C24</f>
        <v>0</v>
      </c>
      <c r="C73" s="2135"/>
      <c r="D73" s="2252">
        <f t="shared" si="20"/>
        <v>0</v>
      </c>
      <c r="E73" s="2260"/>
      <c r="F73" s="2254"/>
      <c r="G73" s="2255"/>
      <c r="H73" s="2256" t="str">
        <f t="shared" si="21"/>
        <v>——</v>
      </c>
      <c r="I73" s="2257">
        <v>0.04</v>
      </c>
      <c r="J73" s="2258">
        <f t="shared" si="22"/>
        <v>0</v>
      </c>
      <c r="K73" s="2258">
        <f t="shared" si="23"/>
        <v>0</v>
      </c>
      <c r="L73" s="2258">
        <v>0</v>
      </c>
      <c r="M73" s="2258">
        <f t="shared" si="24"/>
        <v>0</v>
      </c>
      <c r="N73" s="2258">
        <f t="shared" si="24"/>
        <v>0</v>
      </c>
      <c r="O73" s="1592"/>
      <c r="P73" s="1592"/>
      <c r="Q73" s="3017"/>
      <c r="R73" s="3017"/>
      <c r="S73" s="3017"/>
      <c r="T73" s="3017"/>
      <c r="U73" s="3017"/>
      <c r="V73" s="3017"/>
      <c r="W73" s="3017"/>
      <c r="X73" s="1592"/>
      <c r="Y73" s="1592"/>
      <c r="Z73" s="1592"/>
      <c r="AA73" s="1592"/>
      <c r="AB73" s="1592"/>
      <c r="AC73" s="1592"/>
      <c r="AD73" s="1592"/>
      <c r="AE73" s="1592"/>
      <c r="AF73" s="1592"/>
      <c r="AG73" s="1592"/>
    </row>
    <row r="74" spans="1:33" s="2234" customFormat="1" ht="25.5">
      <c r="A74" s="2247" t="s">
        <v>2605</v>
      </c>
      <c r="B74" s="2264" t="str">
        <f>估价对象房地状况!C21</f>
        <v>估价对象所在区域公共配套设施齐备情况</v>
      </c>
      <c r="C74" s="2135"/>
      <c r="D74" s="2252">
        <f t="shared" si="20"/>
        <v>0</v>
      </c>
      <c r="E74" s="2260"/>
      <c r="F74" s="2254"/>
      <c r="G74" s="2255"/>
      <c r="H74" s="2256" t="str">
        <f t="shared" si="21"/>
        <v>——</v>
      </c>
      <c r="I74" s="2257">
        <v>0.08</v>
      </c>
      <c r="J74" s="2258">
        <f t="shared" si="22"/>
        <v>0</v>
      </c>
      <c r="K74" s="2258">
        <f t="shared" si="23"/>
        <v>0</v>
      </c>
      <c r="L74" s="2258">
        <v>0</v>
      </c>
      <c r="M74" s="2258">
        <f t="shared" si="24"/>
        <v>0</v>
      </c>
      <c r="N74" s="2258">
        <f t="shared" si="24"/>
        <v>0</v>
      </c>
      <c r="O74" s="1592"/>
      <c r="P74" s="1592"/>
      <c r="Q74" s="3017"/>
      <c r="R74" s="3017"/>
      <c r="S74" s="3017"/>
      <c r="T74" s="3017"/>
      <c r="U74" s="3017"/>
      <c r="V74" s="3017"/>
      <c r="W74" s="3017"/>
      <c r="X74" s="1592"/>
      <c r="Y74" s="1592"/>
      <c r="Z74" s="1592"/>
      <c r="AA74" s="1592"/>
      <c r="AB74" s="1592"/>
      <c r="AC74" s="1592"/>
      <c r="AD74" s="1592"/>
      <c r="AE74" s="1592"/>
      <c r="AF74" s="1592"/>
      <c r="AG74" s="1592"/>
    </row>
    <row r="75" spans="1:33" s="2234" customFormat="1" ht="25.5">
      <c r="A75" s="2247" t="s">
        <v>2606</v>
      </c>
      <c r="B75" s="2264" t="str">
        <f>估价对象房地状况!C22</f>
        <v>估价对象所在区域基础设施水平</v>
      </c>
      <c r="C75" s="2135"/>
      <c r="D75" s="2252">
        <f t="shared" si="20"/>
        <v>0</v>
      </c>
      <c r="E75" s="2260"/>
      <c r="F75" s="2254"/>
      <c r="G75" s="2255"/>
      <c r="H75" s="2256" t="str">
        <f t="shared" si="21"/>
        <v>——</v>
      </c>
      <c r="I75" s="2257">
        <v>0.12</v>
      </c>
      <c r="J75" s="2258">
        <f t="shared" si="22"/>
        <v>0</v>
      </c>
      <c r="K75" s="2258">
        <f t="shared" si="23"/>
        <v>0</v>
      </c>
      <c r="L75" s="2258">
        <v>0</v>
      </c>
      <c r="M75" s="2258">
        <f t="shared" si="24"/>
        <v>0</v>
      </c>
      <c r="N75" s="2258">
        <f t="shared" si="24"/>
        <v>0</v>
      </c>
      <c r="O75" s="1592"/>
      <c r="P75" s="1592"/>
      <c r="Q75" s="3017"/>
      <c r="R75" s="3017"/>
      <c r="S75" s="3017"/>
      <c r="T75" s="3017"/>
      <c r="U75" s="3017"/>
      <c r="V75" s="3017"/>
      <c r="W75" s="3017"/>
      <c r="X75" s="1592"/>
      <c r="Y75" s="1592"/>
      <c r="Z75" s="1592"/>
      <c r="AA75" s="1592"/>
      <c r="AB75" s="1592"/>
      <c r="AC75" s="1592"/>
      <c r="AD75" s="1592"/>
      <c r="AE75" s="1592"/>
      <c r="AF75" s="1592"/>
      <c r="AG75" s="1592"/>
    </row>
    <row r="76" spans="1:33" ht="24">
      <c r="A76" s="2247" t="s">
        <v>2603</v>
      </c>
      <c r="B76" s="2262" t="s">
        <v>2604</v>
      </c>
      <c r="C76" s="2135"/>
      <c r="D76" s="2252">
        <f t="shared" si="20"/>
        <v>0</v>
      </c>
      <c r="E76" s="2260"/>
      <c r="F76" s="2254"/>
      <c r="G76" s="2255"/>
      <c r="H76" s="2256" t="str">
        <f t="shared" si="21"/>
        <v>——</v>
      </c>
      <c r="I76" s="2257">
        <v>0.05</v>
      </c>
      <c r="J76" s="2258">
        <f t="shared" si="22"/>
        <v>0</v>
      </c>
      <c r="K76" s="2258">
        <f t="shared" si="23"/>
        <v>0</v>
      </c>
      <c r="L76" s="2258">
        <v>0</v>
      </c>
      <c r="M76" s="2258">
        <f t="shared" si="24"/>
        <v>0</v>
      </c>
      <c r="N76" s="2258">
        <f t="shared" si="24"/>
        <v>0</v>
      </c>
      <c r="Q76" s="3025"/>
      <c r="R76" s="3025"/>
      <c r="S76" s="3025"/>
      <c r="T76" s="3025"/>
      <c r="U76" s="3025"/>
      <c r="V76" s="3025"/>
      <c r="W76" s="3025"/>
      <c r="AA76" s="1593"/>
      <c r="AG76" s="2234"/>
    </row>
    <row r="77" spans="1:33" ht="38.25">
      <c r="A77" s="2247" t="s">
        <v>2607</v>
      </c>
      <c r="B77" s="2251" t="str">
        <f>估价对象房地状况!C20</f>
        <v>区域自然环境：；人文环境；综合评价环境状况一般</v>
      </c>
      <c r="C77" s="2135"/>
      <c r="D77" s="2252">
        <f t="shared" si="20"/>
        <v>0</v>
      </c>
      <c r="E77" s="2260"/>
      <c r="F77" s="2254"/>
      <c r="G77" s="2255"/>
      <c r="H77" s="2256" t="str">
        <f t="shared" si="21"/>
        <v>——</v>
      </c>
      <c r="I77" s="2257">
        <v>0.15</v>
      </c>
      <c r="J77" s="2258">
        <f t="shared" si="22"/>
        <v>0</v>
      </c>
      <c r="K77" s="2258">
        <f t="shared" si="23"/>
        <v>0</v>
      </c>
      <c r="L77" s="2258">
        <v>0</v>
      </c>
      <c r="M77" s="2258">
        <f t="shared" si="24"/>
        <v>0</v>
      </c>
      <c r="N77" s="2258">
        <f t="shared" si="24"/>
        <v>0</v>
      </c>
      <c r="Q77" s="3025"/>
      <c r="R77" s="3025"/>
      <c r="S77" s="3025"/>
      <c r="T77" s="3025"/>
      <c r="U77" s="3025"/>
      <c r="V77" s="3025"/>
      <c r="W77" s="3025"/>
      <c r="AA77" s="1593"/>
      <c r="AG77" s="2234"/>
    </row>
    <row r="78" spans="1:33" ht="24.75" thickBot="1">
      <c r="A78" s="2265" t="s">
        <v>2616</v>
      </c>
      <c r="B78" s="2271"/>
      <c r="C78" s="2135"/>
      <c r="D78" s="2252">
        <f t="shared" si="20"/>
        <v>0</v>
      </c>
      <c r="E78" s="2267"/>
      <c r="F78" s="2254"/>
      <c r="G78" s="2255"/>
      <c r="H78" s="2256" t="str">
        <f t="shared" si="21"/>
        <v>——</v>
      </c>
      <c r="I78" s="2268">
        <v>0.04</v>
      </c>
      <c r="J78" s="2258">
        <f t="shared" si="22"/>
        <v>0</v>
      </c>
      <c r="K78" s="2258">
        <f t="shared" si="23"/>
        <v>0</v>
      </c>
      <c r="L78" s="2258">
        <v>0</v>
      </c>
      <c r="M78" s="2258">
        <f t="shared" si="24"/>
        <v>0</v>
      </c>
      <c r="N78" s="2258">
        <f t="shared" si="24"/>
        <v>0</v>
      </c>
      <c r="Q78" s="3025"/>
      <c r="R78" s="3025"/>
      <c r="S78" s="3025"/>
      <c r="T78" s="3025"/>
      <c r="U78" s="3025"/>
      <c r="V78" s="3025"/>
      <c r="W78" s="3025"/>
      <c r="AA78" s="1593"/>
      <c r="AG78" s="2234"/>
    </row>
    <row r="79" spans="1:33" ht="15">
      <c r="A79" s="2240" t="s">
        <v>2617</v>
      </c>
      <c r="B79" s="2269">
        <f>1+E81</f>
        <v>1</v>
      </c>
      <c r="C79" s="2243"/>
      <c r="D79" s="2243"/>
      <c r="E79" s="2244"/>
      <c r="F79" s="2245"/>
      <c r="G79" s="608"/>
      <c r="H79" s="608"/>
      <c r="I79" s="608"/>
      <c r="J79" s="608"/>
      <c r="K79" s="608"/>
      <c r="L79" s="608"/>
      <c r="M79" s="608"/>
      <c r="N79" s="608"/>
      <c r="Q79" s="3025"/>
      <c r="R79" s="3025"/>
      <c r="S79" s="3025"/>
      <c r="T79" s="3025"/>
      <c r="U79" s="3025"/>
      <c r="V79" s="3025"/>
      <c r="W79" s="3025"/>
      <c r="AA79" s="1593"/>
      <c r="AG79" s="2234"/>
    </row>
    <row r="80" spans="1:33" ht="24.75">
      <c r="A80" s="2247" t="s">
        <v>2583</v>
      </c>
      <c r="B80" s="2259"/>
      <c r="C80" s="2248" t="s">
        <v>2585</v>
      </c>
      <c r="D80" s="2248" t="s">
        <v>2586</v>
      </c>
      <c r="E80" s="2249" t="s">
        <v>2587</v>
      </c>
      <c r="F80" s="2199" t="s">
        <v>2588</v>
      </c>
      <c r="G80" s="2248" t="s">
        <v>2609</v>
      </c>
      <c r="H80" s="2250" t="s">
        <v>2610</v>
      </c>
      <c r="I80" s="2248" t="s">
        <v>2611</v>
      </c>
      <c r="J80" s="1875" t="s">
        <v>2251</v>
      </c>
      <c r="K80" s="1875" t="s">
        <v>2252</v>
      </c>
      <c r="L80" s="1875" t="s">
        <v>2253</v>
      </c>
      <c r="M80" s="1875" t="s">
        <v>2254</v>
      </c>
      <c r="N80" s="1875" t="s">
        <v>2255</v>
      </c>
      <c r="Q80" s="3025"/>
      <c r="R80" s="3025"/>
      <c r="S80" s="3025"/>
      <c r="T80" s="3025"/>
      <c r="U80" s="3025"/>
      <c r="V80" s="3025"/>
      <c r="W80" s="3025"/>
      <c r="AA80" s="1593"/>
      <c r="AG80" s="2234"/>
    </row>
    <row r="81" spans="1:33" ht="38.25">
      <c r="A81" s="2247" t="s">
        <v>2618</v>
      </c>
      <c r="B81" s="2259" t="str">
        <f>估价对象房地状况!G15</f>
        <v>估价对象位于XX开发区，园区建设成熟度XX，产业集聚程度XX</v>
      </c>
      <c r="C81" s="2135"/>
      <c r="D81" s="2252">
        <f t="shared" ref="D81:D88" si="25">SUMIF($J$80:$N$80,C81,J81:N81)</f>
        <v>0</v>
      </c>
      <c r="E81" s="2253">
        <f>ROUND(SUM(D81:D88),4)</f>
        <v>0</v>
      </c>
      <c r="F81" s="2254">
        <f>IF(E2="工业",SUMIF(L1:L12,G2,N1:N12),"——")</f>
        <v>0</v>
      </c>
      <c r="G81" s="2255"/>
      <c r="H81" s="2256">
        <f t="shared" ref="H81:H88" si="26">IFERROR(ROUNDDOWN($F$81*I81/2,4),"——")</f>
        <v>0</v>
      </c>
      <c r="I81" s="2257">
        <v>0.26</v>
      </c>
      <c r="J81" s="2258">
        <f t="shared" ref="J81:J88" si="27">K81+$G81</f>
        <v>0</v>
      </c>
      <c r="K81" s="2258">
        <f t="shared" ref="K81:K88" si="28">$L81+$G81</f>
        <v>0</v>
      </c>
      <c r="L81" s="2258">
        <v>0</v>
      </c>
      <c r="M81" s="2258">
        <f t="shared" ref="M81:N88" si="29">L81-$G81</f>
        <v>0</v>
      </c>
      <c r="N81" s="2258">
        <f t="shared" si="29"/>
        <v>0</v>
      </c>
      <c r="Q81" s="3025"/>
      <c r="R81" s="3025"/>
      <c r="S81" s="3025"/>
      <c r="T81" s="3025"/>
      <c r="U81" s="3025"/>
      <c r="V81" s="3025"/>
      <c r="W81" s="3025"/>
      <c r="AA81" s="1593"/>
      <c r="AG81" s="2234"/>
    </row>
    <row r="82" spans="1:33" ht="51">
      <c r="A82" s="2247" t="s">
        <v>2598</v>
      </c>
      <c r="B82" s="2259" t="str">
        <f>估价对象房地状况!G16</f>
        <v>估价对象周边道路状况、公共交通通达情况、停车便捷程度，综合评价交通便捷度较好</v>
      </c>
      <c r="C82" s="2135"/>
      <c r="D82" s="2252">
        <f t="shared" si="25"/>
        <v>0</v>
      </c>
      <c r="E82" s="2260"/>
      <c r="F82" s="2254"/>
      <c r="G82" s="2255"/>
      <c r="H82" s="2256">
        <f t="shared" si="26"/>
        <v>0</v>
      </c>
      <c r="I82" s="2257">
        <v>0.33</v>
      </c>
      <c r="J82" s="2258">
        <f t="shared" si="27"/>
        <v>0</v>
      </c>
      <c r="K82" s="2258">
        <f t="shared" si="28"/>
        <v>0</v>
      </c>
      <c r="L82" s="2258">
        <v>0</v>
      </c>
      <c r="M82" s="2258">
        <f t="shared" si="29"/>
        <v>0</v>
      </c>
      <c r="N82" s="2258">
        <f t="shared" si="29"/>
        <v>0</v>
      </c>
      <c r="Q82" s="3025"/>
      <c r="R82" s="3025"/>
      <c r="S82" s="3025"/>
      <c r="T82" s="3025"/>
      <c r="U82" s="3025"/>
      <c r="V82" s="3025"/>
      <c r="W82" s="3025"/>
      <c r="AA82" s="1593"/>
      <c r="AG82" s="2234"/>
    </row>
    <row r="83" spans="1:33" ht="24">
      <c r="A83" s="2247" t="s">
        <v>2599</v>
      </c>
      <c r="B83" s="2259">
        <f>估价对象房地状况!G17</f>
        <v>0</v>
      </c>
      <c r="C83" s="2135"/>
      <c r="D83" s="2252">
        <f t="shared" si="25"/>
        <v>0</v>
      </c>
      <c r="E83" s="2260"/>
      <c r="F83" s="2254"/>
      <c r="G83" s="2255"/>
      <c r="H83" s="2256">
        <f t="shared" si="26"/>
        <v>0</v>
      </c>
      <c r="I83" s="2257">
        <v>0.05</v>
      </c>
      <c r="J83" s="2258">
        <f t="shared" si="27"/>
        <v>0</v>
      </c>
      <c r="K83" s="2258">
        <f t="shared" si="28"/>
        <v>0</v>
      </c>
      <c r="L83" s="2258">
        <v>0</v>
      </c>
      <c r="M83" s="2258">
        <f t="shared" si="29"/>
        <v>0</v>
      </c>
      <c r="N83" s="2258">
        <f t="shared" si="29"/>
        <v>0</v>
      </c>
      <c r="Q83" s="3025"/>
      <c r="R83" s="3025"/>
      <c r="S83" s="3025"/>
      <c r="T83" s="3025"/>
      <c r="U83" s="3025"/>
      <c r="V83" s="3025"/>
      <c r="W83" s="3025"/>
      <c r="AA83" s="1593"/>
      <c r="AG83" s="2234"/>
    </row>
    <row r="84" spans="1:33" ht="14.25">
      <c r="A84" s="2247" t="s">
        <v>2615</v>
      </c>
      <c r="B84" s="2259">
        <f>估价对象房地状况!G22</f>
        <v>0</v>
      </c>
      <c r="C84" s="2135"/>
      <c r="D84" s="2252">
        <f t="shared" si="25"/>
        <v>0</v>
      </c>
      <c r="E84" s="2260"/>
      <c r="F84" s="2254"/>
      <c r="G84" s="2255"/>
      <c r="H84" s="2256">
        <f t="shared" si="26"/>
        <v>0</v>
      </c>
      <c r="I84" s="2257">
        <v>0.04</v>
      </c>
      <c r="J84" s="2258">
        <f t="shared" si="27"/>
        <v>0</v>
      </c>
      <c r="K84" s="2258">
        <f t="shared" si="28"/>
        <v>0</v>
      </c>
      <c r="L84" s="2258">
        <v>0</v>
      </c>
      <c r="M84" s="2258">
        <f t="shared" si="29"/>
        <v>0</v>
      </c>
      <c r="N84" s="2258">
        <f t="shared" si="29"/>
        <v>0</v>
      </c>
      <c r="Q84" s="3025"/>
      <c r="R84" s="3025"/>
      <c r="S84" s="3025"/>
      <c r="T84" s="3025"/>
      <c r="U84" s="3025"/>
      <c r="V84" s="3025"/>
      <c r="W84" s="3025"/>
      <c r="AA84" s="1593"/>
      <c r="AG84" s="2234"/>
    </row>
    <row r="85" spans="1:33" ht="25.5">
      <c r="A85" s="2247" t="s">
        <v>2605</v>
      </c>
      <c r="B85" s="2264" t="str">
        <f>估价对象房地状况!G19</f>
        <v>估价对象所在区域公共配套设施齐备情况</v>
      </c>
      <c r="C85" s="2135"/>
      <c r="D85" s="2252">
        <f t="shared" si="25"/>
        <v>0</v>
      </c>
      <c r="E85" s="2260"/>
      <c r="F85" s="2254"/>
      <c r="G85" s="2255"/>
      <c r="H85" s="2256">
        <f t="shared" si="26"/>
        <v>0</v>
      </c>
      <c r="I85" s="2257">
        <v>0.06</v>
      </c>
      <c r="J85" s="2258">
        <f t="shared" si="27"/>
        <v>0</v>
      </c>
      <c r="K85" s="2258">
        <f t="shared" si="28"/>
        <v>0</v>
      </c>
      <c r="L85" s="2258">
        <v>0</v>
      </c>
      <c r="M85" s="2258">
        <f t="shared" si="29"/>
        <v>0</v>
      </c>
      <c r="N85" s="2258">
        <f t="shared" si="29"/>
        <v>0</v>
      </c>
      <c r="Q85" s="3025"/>
      <c r="R85" s="3025"/>
      <c r="S85" s="3025"/>
      <c r="T85" s="3025"/>
      <c r="U85" s="3025"/>
      <c r="V85" s="3025"/>
      <c r="W85" s="3025"/>
      <c r="AA85" s="1593"/>
      <c r="AG85" s="2234"/>
    </row>
    <row r="86" spans="1:33" ht="25.5">
      <c r="A86" s="2247" t="s">
        <v>2606</v>
      </c>
      <c r="B86" s="2264" t="str">
        <f>估价对象房地状况!G20</f>
        <v>估价对象所在区域基础设施水平</v>
      </c>
      <c r="C86" s="2135"/>
      <c r="D86" s="2252">
        <f t="shared" si="25"/>
        <v>0</v>
      </c>
      <c r="E86" s="2260"/>
      <c r="F86" s="2254"/>
      <c r="G86" s="2255"/>
      <c r="H86" s="2256">
        <f t="shared" si="26"/>
        <v>0</v>
      </c>
      <c r="I86" s="2257">
        <v>0.15</v>
      </c>
      <c r="J86" s="2258">
        <f t="shared" si="27"/>
        <v>0</v>
      </c>
      <c r="K86" s="2258">
        <f t="shared" si="28"/>
        <v>0</v>
      </c>
      <c r="L86" s="2258">
        <v>0</v>
      </c>
      <c r="M86" s="2258">
        <f t="shared" si="29"/>
        <v>0</v>
      </c>
      <c r="N86" s="2258">
        <f t="shared" si="29"/>
        <v>0</v>
      </c>
      <c r="Q86" s="3025"/>
      <c r="R86" s="3025"/>
      <c r="S86" s="3025"/>
      <c r="T86" s="3025"/>
      <c r="U86" s="3025"/>
      <c r="V86" s="3025"/>
      <c r="W86" s="3025"/>
      <c r="AA86" s="1593"/>
      <c r="AG86" s="2234"/>
    </row>
    <row r="87" spans="1:33" ht="24">
      <c r="A87" s="2247" t="s">
        <v>2603</v>
      </c>
      <c r="B87" s="2262" t="s">
        <v>2604</v>
      </c>
      <c r="C87" s="2135"/>
      <c r="D87" s="2252">
        <f t="shared" si="25"/>
        <v>0</v>
      </c>
      <c r="E87" s="2260"/>
      <c r="F87" s="2254"/>
      <c r="G87" s="2255"/>
      <c r="H87" s="2256">
        <f t="shared" si="26"/>
        <v>0</v>
      </c>
      <c r="I87" s="2257">
        <v>0.05</v>
      </c>
      <c r="J87" s="2258">
        <f t="shared" si="27"/>
        <v>0</v>
      </c>
      <c r="K87" s="2258">
        <f t="shared" si="28"/>
        <v>0</v>
      </c>
      <c r="L87" s="2258">
        <v>0</v>
      </c>
      <c r="M87" s="2258">
        <f t="shared" si="29"/>
        <v>0</v>
      </c>
      <c r="N87" s="2258">
        <f t="shared" si="29"/>
        <v>0</v>
      </c>
      <c r="Q87" s="3025"/>
      <c r="R87" s="3025"/>
      <c r="S87" s="3025"/>
      <c r="T87" s="3025"/>
      <c r="U87" s="3025"/>
      <c r="V87" s="3025"/>
      <c r="W87" s="3025"/>
      <c r="AA87" s="1593"/>
      <c r="AG87" s="2234"/>
    </row>
    <row r="88" spans="1:33" ht="39" thickBot="1">
      <c r="A88" s="2265" t="s">
        <v>2619</v>
      </c>
      <c r="B88" s="2272" t="str">
        <f>估价对象房地状况!G18</f>
        <v>该园区内是否有污染型企业，绿化情况，卫生条件，整体环境状况判断</v>
      </c>
      <c r="C88" s="2273"/>
      <c r="D88" s="2274">
        <f t="shared" si="25"/>
        <v>0</v>
      </c>
      <c r="E88" s="2267"/>
      <c r="F88" s="2254"/>
      <c r="G88" s="2255"/>
      <c r="H88" s="2256">
        <f t="shared" si="26"/>
        <v>0</v>
      </c>
      <c r="I88" s="2268">
        <v>0.06</v>
      </c>
      <c r="J88" s="2258">
        <f t="shared" si="27"/>
        <v>0</v>
      </c>
      <c r="K88" s="2258">
        <f t="shared" si="28"/>
        <v>0</v>
      </c>
      <c r="L88" s="2258">
        <v>0</v>
      </c>
      <c r="M88" s="2258">
        <f t="shared" si="29"/>
        <v>0</v>
      </c>
      <c r="N88" s="2258">
        <f t="shared" si="29"/>
        <v>0</v>
      </c>
      <c r="Q88" s="3025"/>
      <c r="R88" s="3025"/>
      <c r="S88" s="3025"/>
      <c r="T88" s="3025"/>
      <c r="U88" s="3025"/>
      <c r="V88" s="3025"/>
      <c r="W88" s="3025"/>
      <c r="AA88" s="1593"/>
      <c r="AG88" s="2234"/>
    </row>
    <row r="89" spans="1:33">
      <c r="Q89" s="3025"/>
      <c r="R89" s="3025"/>
      <c r="S89" s="3025"/>
      <c r="T89" s="3025"/>
      <c r="U89" s="3025"/>
      <c r="V89" s="3025"/>
      <c r="W89" s="3025"/>
    </row>
    <row r="90" spans="1:33">
      <c r="A90" s="3558" t="s">
        <v>2620</v>
      </c>
      <c r="B90" s="3558"/>
      <c r="C90" s="3558"/>
      <c r="D90" s="3558"/>
      <c r="E90" s="3558"/>
      <c r="F90" s="3558"/>
      <c r="G90" s="3558"/>
      <c r="H90" s="3558"/>
      <c r="I90" s="3558"/>
      <c r="J90" s="3558"/>
      <c r="K90" s="2275"/>
      <c r="L90" s="2275"/>
      <c r="M90" s="2275"/>
      <c r="N90" s="2275"/>
      <c r="Q90" s="3025"/>
      <c r="R90" s="3025"/>
      <c r="S90" s="3025"/>
      <c r="T90" s="3025"/>
      <c r="U90" s="3025"/>
      <c r="V90" s="3025"/>
      <c r="W90" s="3025"/>
    </row>
    <row r="91" spans="1:33">
      <c r="A91" s="3560" t="s">
        <v>2621</v>
      </c>
      <c r="B91" s="3560" t="s">
        <v>2622</v>
      </c>
      <c r="C91" s="2214" t="s">
        <v>2623</v>
      </c>
      <c r="D91" s="2215"/>
      <c r="E91" s="2215"/>
      <c r="F91" s="2215"/>
      <c r="G91" s="2215"/>
      <c r="H91" s="2215"/>
      <c r="I91" s="2215"/>
      <c r="J91" s="2277"/>
      <c r="K91" s="2037"/>
      <c r="L91" s="2037"/>
      <c r="M91" s="2037"/>
      <c r="N91" s="2037"/>
      <c r="Q91" s="3025"/>
      <c r="R91" s="3025"/>
      <c r="S91" s="3025"/>
      <c r="T91" s="3025"/>
      <c r="U91" s="3025"/>
      <c r="V91" s="3025"/>
      <c r="W91" s="3025"/>
    </row>
    <row r="92" spans="1:33">
      <c r="A92" s="3560"/>
      <c r="B92" s="3560"/>
      <c r="C92" s="2000" t="s">
        <v>2476</v>
      </c>
      <c r="D92" s="2000" t="s">
        <v>2477</v>
      </c>
      <c r="E92" s="2000" t="s">
        <v>2478</v>
      </c>
      <c r="F92" s="2000" t="s">
        <v>2479</v>
      </c>
      <c r="G92" s="2000" t="s">
        <v>2480</v>
      </c>
      <c r="H92" s="2000" t="s">
        <v>2481</v>
      </c>
      <c r="I92" s="2000" t="s">
        <v>2482</v>
      </c>
      <c r="J92" s="2000" t="s">
        <v>2483</v>
      </c>
      <c r="K92" s="2000" t="s">
        <v>2484</v>
      </c>
      <c r="L92" s="2000" t="s">
        <v>2485</v>
      </c>
      <c r="M92" s="2000" t="s">
        <v>2486</v>
      </c>
      <c r="N92" s="2000" t="s">
        <v>2487</v>
      </c>
      <c r="Q92" s="3025"/>
      <c r="R92" s="3025"/>
      <c r="S92" s="3025"/>
      <c r="T92" s="3025"/>
      <c r="U92" s="3025"/>
      <c r="V92" s="3025"/>
      <c r="W92" s="3025"/>
    </row>
    <row r="93" spans="1:33">
      <c r="A93" s="3561" t="s">
        <v>2624</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5"/>
      <c r="R93" s="3025"/>
      <c r="S93" s="3025"/>
      <c r="T93" s="3025"/>
      <c r="U93" s="3025"/>
      <c r="V93" s="3025"/>
      <c r="W93" s="3025"/>
    </row>
    <row r="94" spans="1:33">
      <c r="A94" s="3562"/>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5"/>
      <c r="R94" s="3025"/>
      <c r="S94" s="3025"/>
      <c r="T94" s="3025"/>
      <c r="U94" s="3025"/>
      <c r="V94" s="3025"/>
      <c r="W94" s="3025"/>
    </row>
    <row r="95" spans="1:33">
      <c r="A95" s="3562"/>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5"/>
      <c r="R95" s="3025"/>
      <c r="S95" s="3025"/>
      <c r="T95" s="3025"/>
      <c r="U95" s="3025"/>
      <c r="V95" s="3025"/>
      <c r="W95" s="3025"/>
    </row>
    <row r="96" spans="1:33">
      <c r="A96" s="3562"/>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5"/>
      <c r="R96" s="3025"/>
      <c r="S96" s="3025"/>
      <c r="T96" s="3025"/>
      <c r="U96" s="3025"/>
      <c r="V96" s="3025"/>
      <c r="W96" s="3025"/>
    </row>
    <row r="97" spans="1:23">
      <c r="A97" s="3562"/>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5"/>
      <c r="R97" s="3025"/>
      <c r="S97" s="3025"/>
      <c r="T97" s="3025"/>
      <c r="U97" s="3025"/>
      <c r="V97" s="3025"/>
      <c r="W97" s="3025"/>
    </row>
    <row r="98" spans="1:23">
      <c r="A98" s="3562"/>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5"/>
      <c r="R98" s="3025"/>
      <c r="S98" s="3025"/>
      <c r="T98" s="3025"/>
      <c r="U98" s="3025"/>
      <c r="V98" s="3025"/>
      <c r="W98" s="3025"/>
    </row>
    <row r="99" spans="1:23">
      <c r="A99" s="3562"/>
      <c r="B99" s="2278" t="s">
        <v>2492</v>
      </c>
      <c r="C99" s="2280">
        <f>$I$3</f>
        <v>0</v>
      </c>
      <c r="D99" s="2280">
        <f t="shared" ref="D99:M99" si="30">$I$3</f>
        <v>0</v>
      </c>
      <c r="E99" s="2280">
        <f t="shared" si="30"/>
        <v>0</v>
      </c>
      <c r="F99" s="2280">
        <f t="shared" si="30"/>
        <v>0</v>
      </c>
      <c r="G99" s="2280">
        <f t="shared" si="30"/>
        <v>0</v>
      </c>
      <c r="H99" s="2280">
        <f t="shared" si="30"/>
        <v>0</v>
      </c>
      <c r="I99" s="2280">
        <f t="shared" si="30"/>
        <v>0</v>
      </c>
      <c r="J99" s="2280">
        <f t="shared" si="30"/>
        <v>0</v>
      </c>
      <c r="K99" s="2280">
        <f t="shared" si="30"/>
        <v>0</v>
      </c>
      <c r="L99" s="2280">
        <f t="shared" si="30"/>
        <v>0</v>
      </c>
      <c r="M99" s="2280">
        <f t="shared" si="30"/>
        <v>0</v>
      </c>
      <c r="N99" s="2280">
        <f>$I$3</f>
        <v>0</v>
      </c>
      <c r="Q99" s="3025"/>
      <c r="R99" s="3025"/>
      <c r="S99" s="3025"/>
      <c r="T99" s="3025"/>
      <c r="U99" s="3025"/>
      <c r="V99" s="3025"/>
      <c r="W99" s="3025"/>
    </row>
    <row r="100" spans="1:23">
      <c r="A100" s="3563"/>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5"/>
      <c r="R100" s="3025"/>
      <c r="S100" s="3025"/>
      <c r="T100" s="3025"/>
      <c r="U100" s="3025"/>
      <c r="V100" s="3025"/>
      <c r="W100" s="3025"/>
    </row>
    <row r="101" spans="1:23">
      <c r="A101" s="3561" t="s">
        <v>2625</v>
      </c>
      <c r="B101" s="2282" t="s">
        <v>2626</v>
      </c>
      <c r="C101" s="2283">
        <f>$G$3</f>
        <v>0</v>
      </c>
      <c r="D101" s="2283">
        <f t="shared" ref="D101:N101" si="31">$G$3</f>
        <v>0</v>
      </c>
      <c r="E101" s="2283">
        <f t="shared" si="31"/>
        <v>0</v>
      </c>
      <c r="F101" s="2283">
        <f t="shared" si="31"/>
        <v>0</v>
      </c>
      <c r="G101" s="2283">
        <f t="shared" si="31"/>
        <v>0</v>
      </c>
      <c r="H101" s="2283">
        <f t="shared" si="31"/>
        <v>0</v>
      </c>
      <c r="I101" s="2283">
        <f t="shared" si="31"/>
        <v>0</v>
      </c>
      <c r="J101" s="2283">
        <f t="shared" si="31"/>
        <v>0</v>
      </c>
      <c r="K101" s="2283">
        <f t="shared" si="31"/>
        <v>0</v>
      </c>
      <c r="L101" s="2283">
        <f t="shared" si="31"/>
        <v>0</v>
      </c>
      <c r="M101" s="2283">
        <f t="shared" si="31"/>
        <v>0</v>
      </c>
      <c r="N101" s="2283">
        <f t="shared" si="31"/>
        <v>0</v>
      </c>
      <c r="Q101" s="3025"/>
      <c r="R101" s="3025"/>
      <c r="S101" s="3025"/>
      <c r="T101" s="3025"/>
      <c r="U101" s="3025"/>
      <c r="V101" s="3025"/>
      <c r="W101" s="3025"/>
    </row>
    <row r="102" spans="1:23">
      <c r="A102" s="3562"/>
      <c r="B102" s="2278">
        <v>1</v>
      </c>
      <c r="C102" s="2279" t="e">
        <f>1.9362/C101</f>
        <v>#DIV/0!</v>
      </c>
      <c r="D102" s="2279" t="e">
        <f>1.9362/D101</f>
        <v>#DIV/0!</v>
      </c>
      <c r="E102" s="2279" t="e">
        <f>1.8629/E101</f>
        <v>#DIV/0!</v>
      </c>
      <c r="F102" s="2279" t="e">
        <f>1.8629/F101</f>
        <v>#DIV/0!</v>
      </c>
      <c r="G102" s="2279" t="e">
        <f>1.8629/G101</f>
        <v>#DIV/0!</v>
      </c>
      <c r="H102" s="2279" t="e">
        <f>1.8629/H101</f>
        <v>#DIV/0!</v>
      </c>
      <c r="I102" s="2279" t="e">
        <f>1.8629/I101</f>
        <v>#DIV/0!</v>
      </c>
      <c r="J102" s="2279" t="e">
        <f>1.942/J101</f>
        <v>#DIV/0!</v>
      </c>
      <c r="K102" s="2279" t="e">
        <f>1.942/K101</f>
        <v>#DIV/0!</v>
      </c>
      <c r="L102" s="2279" t="e">
        <f>1.942/L101</f>
        <v>#DIV/0!</v>
      </c>
      <c r="M102" s="2279" t="e">
        <f>1.942/M101</f>
        <v>#DIV/0!</v>
      </c>
      <c r="N102" s="2279" t="e">
        <f>1.942/N101</f>
        <v>#DIV/0!</v>
      </c>
      <c r="Q102" s="3025"/>
      <c r="R102" s="3025"/>
      <c r="S102" s="3025"/>
      <c r="T102" s="3025"/>
      <c r="U102" s="3025"/>
      <c r="V102" s="3025"/>
      <c r="W102" s="3025"/>
    </row>
    <row r="103" spans="1:23">
      <c r="A103" s="3562"/>
      <c r="B103" s="2278">
        <v>2</v>
      </c>
      <c r="C103" s="2279" t="e">
        <f>1.4198/C101</f>
        <v>#DIV/0!</v>
      </c>
      <c r="D103" s="2279" t="e">
        <f>1.4198/D101</f>
        <v>#DIV/0!</v>
      </c>
      <c r="E103" s="2279" t="e">
        <f>1.3372/E101</f>
        <v>#DIV/0!</v>
      </c>
      <c r="F103" s="2279" t="e">
        <f>1.3372/F101</f>
        <v>#DIV/0!</v>
      </c>
      <c r="G103" s="2279" t="e">
        <f>1.3372/G101</f>
        <v>#DIV/0!</v>
      </c>
      <c r="H103" s="2279" t="e">
        <f>1.3372/H101</f>
        <v>#DIV/0!</v>
      </c>
      <c r="I103" s="2279" t="e">
        <f>1.3372/I101</f>
        <v>#DIV/0!</v>
      </c>
      <c r="J103" s="2279" t="e">
        <f>1.2799/J101</f>
        <v>#DIV/0!</v>
      </c>
      <c r="K103" s="2279" t="e">
        <f>1.2799/K101</f>
        <v>#DIV/0!</v>
      </c>
      <c r="L103" s="2279" t="e">
        <f>1.2799/L101</f>
        <v>#DIV/0!</v>
      </c>
      <c r="M103" s="2279" t="e">
        <f>1.2799/M101</f>
        <v>#DIV/0!</v>
      </c>
      <c r="N103" s="2279" t="e">
        <f>1.2799/N101</f>
        <v>#DIV/0!</v>
      </c>
      <c r="Q103" s="3025"/>
      <c r="R103" s="3025"/>
      <c r="S103" s="3025"/>
      <c r="T103" s="3025"/>
      <c r="U103" s="3025"/>
      <c r="V103" s="3025"/>
      <c r="W103" s="3025"/>
    </row>
    <row r="104" spans="1:23">
      <c r="A104" s="3562"/>
      <c r="B104" s="2278">
        <v>3</v>
      </c>
      <c r="C104" s="2279" t="e">
        <f>1.1594/C101</f>
        <v>#DIV/0!</v>
      </c>
      <c r="D104" s="2279" t="e">
        <f>1.1594/D101</f>
        <v>#DIV/0!</v>
      </c>
      <c r="E104" s="2279" t="e">
        <f>1.0788/E101</f>
        <v>#DIV/0!</v>
      </c>
      <c r="F104" s="2279" t="e">
        <f>1.0788/F101</f>
        <v>#DIV/0!</v>
      </c>
      <c r="G104" s="2279" t="e">
        <f>1.0788/G101</f>
        <v>#DIV/0!</v>
      </c>
      <c r="H104" s="2279" t="e">
        <f>1.0788/H101</f>
        <v>#DIV/0!</v>
      </c>
      <c r="I104" s="2279" t="e">
        <f>1.0788/I101</f>
        <v>#DIV/0!</v>
      </c>
      <c r="J104" s="2279" t="e">
        <f>1.0072/J101</f>
        <v>#DIV/0!</v>
      </c>
      <c r="K104" s="2279" t="e">
        <f>1.0072/K101</f>
        <v>#DIV/0!</v>
      </c>
      <c r="L104" s="2279" t="e">
        <f>1.0072/L101</f>
        <v>#DIV/0!</v>
      </c>
      <c r="M104" s="2279" t="e">
        <f>1.0072/M101</f>
        <v>#DIV/0!</v>
      </c>
      <c r="N104" s="2279" t="e">
        <f>1.0072/N101</f>
        <v>#DIV/0!</v>
      </c>
      <c r="Q104" s="3025"/>
      <c r="R104" s="3025"/>
      <c r="S104" s="3025"/>
      <c r="T104" s="3025"/>
      <c r="U104" s="3025"/>
      <c r="V104" s="3025"/>
      <c r="W104" s="3025"/>
    </row>
    <row r="105" spans="1:23">
      <c r="A105" s="3562"/>
      <c r="B105" s="2278">
        <v>4</v>
      </c>
      <c r="C105" s="2279" t="e">
        <f>0.9622/C101</f>
        <v>#DIV/0!</v>
      </c>
      <c r="D105" s="2279" t="e">
        <f>0.9622/D101</f>
        <v>#DIV/0!</v>
      </c>
      <c r="E105" s="2279" t="e">
        <f>0.8656/E101</f>
        <v>#DIV/0!</v>
      </c>
      <c r="F105" s="2279" t="e">
        <f>0.8656/F101</f>
        <v>#DIV/0!</v>
      </c>
      <c r="G105" s="2279" t="e">
        <f>0.8656/G101</f>
        <v>#DIV/0!</v>
      </c>
      <c r="H105" s="2279" t="e">
        <f>0.8656/H101</f>
        <v>#DIV/0!</v>
      </c>
      <c r="I105" s="2279" t="e">
        <f>0.8656/I101</f>
        <v>#DIV/0!</v>
      </c>
      <c r="J105" s="2279" t="e">
        <f>0.7525/J101</f>
        <v>#DIV/0!</v>
      </c>
      <c r="K105" s="2279" t="e">
        <f>0.7525/K101</f>
        <v>#DIV/0!</v>
      </c>
      <c r="L105" s="2279" t="e">
        <f>0.7525/L101</f>
        <v>#DIV/0!</v>
      </c>
      <c r="M105" s="2279" t="e">
        <f>0.7525/M101</f>
        <v>#DIV/0!</v>
      </c>
      <c r="N105" s="2279" t="e">
        <f>0.7525/N101</f>
        <v>#DIV/0!</v>
      </c>
      <c r="Q105" s="3025"/>
      <c r="R105" s="3025"/>
      <c r="S105" s="3025"/>
      <c r="T105" s="3025"/>
      <c r="U105" s="3025"/>
      <c r="V105" s="3025"/>
      <c r="W105" s="3025"/>
    </row>
    <row r="106" spans="1:23">
      <c r="A106" s="3562"/>
      <c r="B106" s="2278">
        <v>5</v>
      </c>
      <c r="C106" s="2279" t="e">
        <f>0.8417/C101</f>
        <v>#DIV/0!</v>
      </c>
      <c r="D106" s="2279" t="e">
        <f>0.8417/D101</f>
        <v>#DIV/0!</v>
      </c>
      <c r="E106" s="2279" t="e">
        <f>0.7371/E101</f>
        <v>#DIV/0!</v>
      </c>
      <c r="F106" s="2279" t="e">
        <f>0.7371/F101</f>
        <v>#DIV/0!</v>
      </c>
      <c r="G106" s="2279" t="e">
        <f>0.7371/G101</f>
        <v>#DIV/0!</v>
      </c>
      <c r="H106" s="2279" t="e">
        <f>0.7371/H101</f>
        <v>#DIV/0!</v>
      </c>
      <c r="I106" s="2279" t="e">
        <f>0.7371/I101</f>
        <v>#DIV/0!</v>
      </c>
      <c r="J106" s="2279" t="e">
        <f>0.5659/J101</f>
        <v>#DIV/0!</v>
      </c>
      <c r="K106" s="2279" t="e">
        <f>0.5659/K101</f>
        <v>#DIV/0!</v>
      </c>
      <c r="L106" s="2279" t="e">
        <f>0.5659/L101</f>
        <v>#DIV/0!</v>
      </c>
      <c r="M106" s="2279" t="e">
        <f>0.5659/M101</f>
        <v>#DIV/0!</v>
      </c>
      <c r="N106" s="2279" t="e">
        <f>0.5659/N101</f>
        <v>#DIV/0!</v>
      </c>
      <c r="Q106" s="3025"/>
      <c r="R106" s="3025"/>
      <c r="S106" s="3025"/>
      <c r="T106" s="3025"/>
      <c r="U106" s="3025"/>
      <c r="V106" s="3025"/>
      <c r="W106" s="3025"/>
    </row>
    <row r="107" spans="1:23">
      <c r="A107" s="3562"/>
      <c r="B107" s="2278">
        <v>6</v>
      </c>
      <c r="C107" s="2279" t="e">
        <f>0.7608/C101</f>
        <v>#DIV/0!</v>
      </c>
      <c r="D107" s="2279" t="e">
        <f>0.7608/D101</f>
        <v>#DIV/0!</v>
      </c>
      <c r="E107" s="2279" t="e">
        <f>0.6482/E101</f>
        <v>#DIV/0!</v>
      </c>
      <c r="F107" s="2279" t="e">
        <f>0.6482/F101</f>
        <v>#DIV/0!</v>
      </c>
      <c r="G107" s="2279" t="e">
        <f>0.6482/G101</f>
        <v>#DIV/0!</v>
      </c>
      <c r="H107" s="2279" t="e">
        <f>0.6482/H101</f>
        <v>#DIV/0!</v>
      </c>
      <c r="I107" s="2279" t="e">
        <f>0.6482/I101</f>
        <v>#DIV/0!</v>
      </c>
      <c r="J107" s="2279" t="e">
        <f>0.4525/J101</f>
        <v>#DIV/0!</v>
      </c>
      <c r="K107" s="2279" t="e">
        <f>0.4525/K101</f>
        <v>#DIV/0!</v>
      </c>
      <c r="L107" s="2279" t="e">
        <f>0.4525/L101</f>
        <v>#DIV/0!</v>
      </c>
      <c r="M107" s="2279" t="e">
        <f>0.4525/M101</f>
        <v>#DIV/0!</v>
      </c>
      <c r="N107" s="2279" t="e">
        <f>0.4525/N101</f>
        <v>#DIV/0!</v>
      </c>
      <c r="Q107" s="3025"/>
      <c r="R107" s="3025"/>
      <c r="S107" s="3025"/>
      <c r="T107" s="3025"/>
      <c r="U107" s="3025"/>
      <c r="V107" s="3025"/>
      <c r="W107" s="3025"/>
    </row>
    <row r="108" spans="1:23">
      <c r="A108" s="3562"/>
      <c r="B108" s="3564" t="s">
        <v>2627</v>
      </c>
      <c r="C108" s="2280">
        <f>C99</f>
        <v>0</v>
      </c>
      <c r="D108" s="2280">
        <f t="shared" ref="D108:N108" si="32">D99</f>
        <v>0</v>
      </c>
      <c r="E108" s="2280">
        <f t="shared" si="32"/>
        <v>0</v>
      </c>
      <c r="F108" s="2280">
        <f t="shared" si="32"/>
        <v>0</v>
      </c>
      <c r="G108" s="2280">
        <f t="shared" si="32"/>
        <v>0</v>
      </c>
      <c r="H108" s="2280">
        <f t="shared" si="32"/>
        <v>0</v>
      </c>
      <c r="I108" s="2280">
        <f t="shared" si="32"/>
        <v>0</v>
      </c>
      <c r="J108" s="2280">
        <f t="shared" si="32"/>
        <v>0</v>
      </c>
      <c r="K108" s="2280">
        <f t="shared" si="32"/>
        <v>0</v>
      </c>
      <c r="L108" s="2280">
        <f t="shared" si="32"/>
        <v>0</v>
      </c>
      <c r="M108" s="2280">
        <f t="shared" si="32"/>
        <v>0</v>
      </c>
      <c r="N108" s="2280">
        <f t="shared" si="32"/>
        <v>0</v>
      </c>
      <c r="Q108" s="3025"/>
      <c r="R108" s="3025"/>
      <c r="S108" s="3025"/>
      <c r="T108" s="3025"/>
      <c r="U108" s="3025"/>
      <c r="V108" s="3025"/>
      <c r="W108" s="3025"/>
    </row>
    <row r="109" spans="1:23">
      <c r="A109" s="3563"/>
      <c r="B109" s="3565"/>
      <c r="C109" s="2281" t="e">
        <f>(-0.163*(C108^2)-0.59*C108+7617)*(10^(-4))/C101</f>
        <v>#DIV/0!</v>
      </c>
      <c r="D109" s="2281" t="e">
        <f>(-0.163*(D108^2)-0.59*D108+7617)*(10^(-4))/D101</f>
        <v>#DIV/0!</v>
      </c>
      <c r="E109" s="2281" t="e">
        <f>(-0.161*(E108^2)-7.509*E108+6533)*(10^(-4))/E101</f>
        <v>#DIV/0!</v>
      </c>
      <c r="F109" s="2281" t="e">
        <f>(-0.161*(F108^2)-7.509*F108+6533)*(10^(-4))/F101</f>
        <v>#DIV/0!</v>
      </c>
      <c r="G109" s="2281" t="e">
        <f>(-0.161*(G108^2)-7.509*G108+6533)*(10^(-4))/G101</f>
        <v>#DIV/0!</v>
      </c>
      <c r="H109" s="2281" t="e">
        <f>(-0.161*(H108^2)-7.509*H108+6533)*(10^(-4))/H101</f>
        <v>#DIV/0!</v>
      </c>
      <c r="I109" s="2281" t="e">
        <f>(-0.161*(I108^2)-7.509*I108+6533)*(10^(-4))/I101</f>
        <v>#DIV/0!</v>
      </c>
      <c r="J109" s="2281" t="e">
        <f>(-0.214*(J108^2)-21.991*J108+4665)*(10^(-4))/J101</f>
        <v>#DIV/0!</v>
      </c>
      <c r="K109" s="2281" t="e">
        <f>(-0.214*(K108^2)-21.991*K108+4665)*(10^(-4))/K101</f>
        <v>#DIV/0!</v>
      </c>
      <c r="L109" s="2281" t="e">
        <f>(-0.214*(L108^2)-21.991*L108+4665)*(10^(-4))/L101</f>
        <v>#DIV/0!</v>
      </c>
      <c r="M109" s="2281" t="e">
        <f>(-0.214*(M108^2)-21.991*M108+4665)*(10^(-4))/M101</f>
        <v>#DIV/0!</v>
      </c>
      <c r="N109" s="2281" t="e">
        <f>(-0.214*(N108^2)-21.991*N108+4665)*(10^(-4))/N101</f>
        <v>#DIV/0!</v>
      </c>
      <c r="Q109" s="3025"/>
      <c r="R109" s="3025"/>
      <c r="S109" s="3025"/>
      <c r="T109" s="3025"/>
      <c r="U109" s="3025"/>
      <c r="V109" s="3025"/>
      <c r="W109" s="3025"/>
    </row>
    <row r="110" spans="1:23">
      <c r="A110" s="3559" t="s">
        <v>2628</v>
      </c>
      <c r="B110" s="3559"/>
      <c r="C110" s="3559"/>
      <c r="D110" s="3559"/>
      <c r="E110" s="3559"/>
      <c r="F110" s="3559"/>
      <c r="G110" s="3559"/>
      <c r="H110" s="3559"/>
      <c r="I110" s="3559"/>
      <c r="J110" s="3559"/>
      <c r="K110" s="2049"/>
      <c r="L110" s="2049"/>
      <c r="M110" s="2049"/>
      <c r="N110" s="2049"/>
      <c r="Q110" s="3025"/>
      <c r="R110" s="3025"/>
      <c r="S110" s="3025"/>
      <c r="T110" s="3025"/>
      <c r="U110" s="3025"/>
      <c r="V110" s="3025"/>
      <c r="W110" s="3025"/>
    </row>
    <row r="112" spans="1:23" ht="13.5" thickBot="1"/>
    <row r="113" spans="1:13" ht="25.5" thickBot="1">
      <c r="A113" s="2284" t="s">
        <v>2629</v>
      </c>
      <c r="B113" s="2285">
        <f>G3</f>
        <v>0</v>
      </c>
      <c r="C113" s="2286" t="s">
        <v>2630</v>
      </c>
      <c r="D113" s="2287">
        <f>SUMPRODUCT((A115:A118=F113)*(B114:M114=H113)*B115:M118)</f>
        <v>0</v>
      </c>
      <c r="E113" s="1571" t="s">
        <v>2516</v>
      </c>
      <c r="F113" s="2288" t="str">
        <f>E2</f>
        <v>工业</v>
      </c>
      <c r="G113" s="1571" t="s">
        <v>2450</v>
      </c>
      <c r="H113" s="2288">
        <f>G2</f>
        <v>0</v>
      </c>
      <c r="I113" s="1571"/>
      <c r="J113" s="2289"/>
      <c r="K113" s="2289"/>
      <c r="L113" s="2289"/>
      <c r="M113" s="2289"/>
    </row>
    <row r="114" spans="1:13">
      <c r="A114" s="2290"/>
      <c r="B114" s="2291" t="s">
        <v>2631</v>
      </c>
      <c r="C114" s="2291" t="s">
        <v>2632</v>
      </c>
      <c r="D114" s="2291" t="s">
        <v>2633</v>
      </c>
      <c r="E114" s="2292" t="s">
        <v>2634</v>
      </c>
      <c r="F114" s="2292" t="s">
        <v>2635</v>
      </c>
      <c r="G114" s="2292" t="s">
        <v>2636</v>
      </c>
      <c r="H114" s="2293" t="s">
        <v>2637</v>
      </c>
      <c r="I114" s="2293" t="s">
        <v>2638</v>
      </c>
      <c r="J114" s="2294" t="s">
        <v>2639</v>
      </c>
      <c r="K114" s="2294" t="s">
        <v>2640</v>
      </c>
      <c r="L114" s="2294" t="s">
        <v>2641</v>
      </c>
      <c r="M114" s="2295" t="s">
        <v>2642</v>
      </c>
    </row>
    <row r="115" spans="1:13">
      <c r="A115" s="2296" t="s">
        <v>2517</v>
      </c>
      <c r="B115" s="2297">
        <f>ROUND(0.9335-0.0094*B113,4)</f>
        <v>0.9335</v>
      </c>
      <c r="C115" s="2297">
        <f>B115</f>
        <v>0.9335</v>
      </c>
      <c r="D115" s="2297">
        <f>ROUND(0.8331-0.0109*B113,4)</f>
        <v>0.83309999999999995</v>
      </c>
      <c r="E115" s="2297">
        <f>D115</f>
        <v>0.83309999999999995</v>
      </c>
      <c r="F115" s="2297">
        <f>E115</f>
        <v>0.83309999999999995</v>
      </c>
      <c r="G115" s="2297">
        <f>F115</f>
        <v>0.83309999999999995</v>
      </c>
      <c r="H115" s="2297">
        <f>G115</f>
        <v>0.83309999999999995</v>
      </c>
      <c r="I115" s="2297">
        <f>ROUND(0.689-0.0155*B113,4)</f>
        <v>0.68899999999999995</v>
      </c>
      <c r="J115" s="2297">
        <f t="shared" ref="J115:M118" si="33">I115</f>
        <v>0.68899999999999995</v>
      </c>
      <c r="K115" s="2297">
        <f t="shared" si="33"/>
        <v>0.68899999999999995</v>
      </c>
      <c r="L115" s="2297">
        <f t="shared" si="33"/>
        <v>0.68899999999999995</v>
      </c>
      <c r="M115" s="2298">
        <f t="shared" si="33"/>
        <v>0.68899999999999995</v>
      </c>
    </row>
    <row r="116" spans="1:13">
      <c r="A116" s="2296" t="s">
        <v>2518</v>
      </c>
      <c r="B116" s="2297">
        <f>ROUND(0.949-0.012*B113,4)</f>
        <v>0.94899999999999995</v>
      </c>
      <c r="C116" s="2297">
        <f>B116</f>
        <v>0.94899999999999995</v>
      </c>
      <c r="D116" s="2297">
        <f>ROUND(0.8567-0.013*B113,4)</f>
        <v>0.85670000000000002</v>
      </c>
      <c r="E116" s="2297">
        <f t="shared" ref="E116:H117" si="34">D116</f>
        <v>0.85670000000000002</v>
      </c>
      <c r="F116" s="2297">
        <f t="shared" si="34"/>
        <v>0.85670000000000002</v>
      </c>
      <c r="G116" s="2297">
        <f t="shared" si="34"/>
        <v>0.85670000000000002</v>
      </c>
      <c r="H116" s="2297">
        <f t="shared" si="34"/>
        <v>0.85670000000000002</v>
      </c>
      <c r="I116" s="2297">
        <f>ROUND(0.7694-0.014*B113,4)</f>
        <v>0.76939999999999997</v>
      </c>
      <c r="J116" s="2297">
        <f t="shared" si="33"/>
        <v>0.76939999999999997</v>
      </c>
      <c r="K116" s="2297">
        <f t="shared" si="33"/>
        <v>0.76939999999999997</v>
      </c>
      <c r="L116" s="2297">
        <f t="shared" si="33"/>
        <v>0.76939999999999997</v>
      </c>
      <c r="M116" s="2298">
        <f t="shared" si="33"/>
        <v>0.76939999999999997</v>
      </c>
    </row>
    <row r="117" spans="1:13">
      <c r="A117" s="2296" t="s">
        <v>2519</v>
      </c>
      <c r="B117" s="2297">
        <f>ROUND(0.8808-0.006*B113,4)</f>
        <v>0.88080000000000003</v>
      </c>
      <c r="C117" s="2297">
        <f>B117</f>
        <v>0.88080000000000003</v>
      </c>
      <c r="D117" s="2297">
        <f>ROUND(0.8748-0.008*B113,4)</f>
        <v>0.87480000000000002</v>
      </c>
      <c r="E117" s="2297">
        <f t="shared" si="34"/>
        <v>0.87480000000000002</v>
      </c>
      <c r="F117" s="2297">
        <f t="shared" si="34"/>
        <v>0.87480000000000002</v>
      </c>
      <c r="G117" s="2297">
        <f t="shared" si="34"/>
        <v>0.87480000000000002</v>
      </c>
      <c r="H117" s="2297">
        <f t="shared" si="34"/>
        <v>0.87480000000000002</v>
      </c>
      <c r="I117" s="2297">
        <f>ROUND(0.7412-0.0095*B113,4)</f>
        <v>0.74119999999999997</v>
      </c>
      <c r="J117" s="2297">
        <f t="shared" si="33"/>
        <v>0.74119999999999997</v>
      </c>
      <c r="K117" s="2297">
        <f t="shared" si="33"/>
        <v>0.74119999999999997</v>
      </c>
      <c r="L117" s="2297">
        <f t="shared" si="33"/>
        <v>0.74119999999999997</v>
      </c>
      <c r="M117" s="2298">
        <f t="shared" si="33"/>
        <v>0.74119999999999997</v>
      </c>
    </row>
    <row r="118" spans="1:13" ht="13.5" thickBot="1">
      <c r="A118" s="2299" t="s">
        <v>2520</v>
      </c>
      <c r="B118" s="2300">
        <f>ROUND(0.7275-0.01*B113,4)</f>
        <v>0.72750000000000004</v>
      </c>
      <c r="C118" s="2300">
        <f>B118</f>
        <v>0.72750000000000004</v>
      </c>
      <c r="D118" s="2300">
        <f>ROUND(0.7043-0.012*B113,4)</f>
        <v>0.70430000000000004</v>
      </c>
      <c r="E118" s="2300">
        <f>D118</f>
        <v>0.70430000000000004</v>
      </c>
      <c r="F118" s="2300">
        <f>E118</f>
        <v>0.70430000000000004</v>
      </c>
      <c r="G118" s="2300">
        <f>ROUND(0.6299-0.0122*B113,4)</f>
        <v>0.62990000000000002</v>
      </c>
      <c r="H118" s="2300">
        <f>G118</f>
        <v>0.62990000000000002</v>
      </c>
      <c r="I118" s="2300">
        <f>ROUND(0.5667-0.0136*B113,4)</f>
        <v>0.56669999999999998</v>
      </c>
      <c r="J118" s="2300">
        <f t="shared" si="33"/>
        <v>0.56669999999999998</v>
      </c>
      <c r="K118" s="2300">
        <f t="shared" si="33"/>
        <v>0.56669999999999998</v>
      </c>
      <c r="L118" s="2300">
        <f t="shared" si="33"/>
        <v>0.56669999999999998</v>
      </c>
      <c r="M118" s="2301">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8"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09" t="str">
        <f>项目基本情况!B4</f>
        <v>xx</v>
      </c>
      <c r="C12" s="813"/>
    </row>
    <row r="13" spans="1:7">
      <c r="A13" s="903"/>
      <c r="B13" s="833"/>
      <c r="C13" s="813"/>
    </row>
    <row r="14" spans="1:7">
      <c r="A14" s="906" t="s">
        <v>940</v>
      </c>
      <c r="B14" s="905" t="s">
        <v>942</v>
      </c>
      <c r="C14" s="813"/>
    </row>
    <row r="15" spans="1:7">
      <c r="A15" s="903"/>
      <c r="B15" s="1309" t="s">
        <v>771</v>
      </c>
      <c r="C15" s="813"/>
    </row>
    <row r="16" spans="1:7">
      <c r="A16" s="903"/>
      <c r="B16" s="833"/>
      <c r="C16" s="813"/>
    </row>
    <row r="17" spans="1:5">
      <c r="A17" s="906" t="s">
        <v>940</v>
      </c>
      <c r="B17" s="905" t="s">
        <v>943</v>
      </c>
      <c r="C17" s="813"/>
    </row>
    <row r="18" spans="1:5" s="817" customFormat="1">
      <c r="A18" s="904"/>
      <c r="B18" s="1309"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09"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N18" sqref="N18"/>
    </sheetView>
  </sheetViews>
  <sheetFormatPr defaultColWidth="9" defaultRowHeight="14.25"/>
  <cols>
    <col min="1" max="1" width="10.5" style="296" customWidth="1"/>
    <col min="2" max="2" width="15.75" style="296" customWidth="1"/>
    <col min="3" max="3" width="16.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2184</v>
      </c>
      <c r="B1" s="1196" t="s">
        <v>2343</v>
      </c>
      <c r="C1" s="1188" t="s">
        <v>2691</v>
      </c>
      <c r="D1" s="1201"/>
      <c r="E1" s="1528" t="s">
        <v>2689</v>
      </c>
      <c r="F1" s="1202" t="s">
        <v>2186</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f>IF(D2="——",IF(C2="元",ROUND(C43*D3,0),ROUND(C43*D3/10000,0)),IF(C2="元",ROUND(C43*D3,0),ROUND(C43*D3/10000,0))-E2)</f>
        <v>1194</v>
      </c>
      <c r="C2" s="79" t="str">
        <f>'数据-取费表'!B3</f>
        <v>万元</v>
      </c>
      <c r="D2" s="1529" t="s">
        <v>1184</v>
      </c>
      <c r="E2" s="1548" t="e">
        <f ca="1">SUMIF(INDIRECT("'"&amp;G2&amp;"'"&amp;"!A:A"),"承租人权益价值",INDIRECT("'"&amp;G2&amp;"'"&amp;"!c:c"))</f>
        <v>#REF!</v>
      </c>
      <c r="F2" s="1530" t="str">
        <f>C2</f>
        <v>万元</v>
      </c>
      <c r="G2" s="1531"/>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1858</v>
      </c>
      <c r="B3" s="495">
        <f>ROUND(IF(D2="——",C43,IF(C2="万元",B2*10000/D3,B2/D3)),0)</f>
        <v>30341</v>
      </c>
      <c r="C3" s="293" t="s">
        <v>2187</v>
      </c>
      <c r="D3" s="292">
        <f>IF(C1="仅计算典型户型",'数据-取费表'!E5,'数据-取费表'!B5)</f>
        <v>393.43</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593" t="s">
        <v>2189</v>
      </c>
      <c r="D4" s="3594"/>
      <c r="E4" s="3595" t="s">
        <v>2190</v>
      </c>
      <c r="F4" s="3596"/>
      <c r="G4" s="3593" t="s">
        <v>2191</v>
      </c>
      <c r="H4" s="3594"/>
      <c r="I4" s="3593" t="s">
        <v>2192</v>
      </c>
      <c r="J4" s="3594"/>
      <c r="K4" s="496" t="s">
        <v>2193</v>
      </c>
      <c r="L4" s="2992"/>
      <c r="M4" s="2993"/>
      <c r="N4" s="2993"/>
      <c r="O4" s="2993"/>
      <c r="P4" s="3597" t="s">
        <v>2194</v>
      </c>
      <c r="Q4" s="3598"/>
      <c r="R4" s="3603" t="s">
        <v>2190</v>
      </c>
      <c r="S4" s="3604"/>
      <c r="T4" s="3603" t="s">
        <v>2191</v>
      </c>
      <c r="U4" s="3604"/>
      <c r="V4" s="3609" t="s">
        <v>2192</v>
      </c>
      <c r="W4" s="3609"/>
      <c r="X4" s="1304"/>
      <c r="Y4" s="3603" t="s">
        <v>2194</v>
      </c>
      <c r="Z4" s="3604"/>
      <c r="AA4" s="3590" t="s">
        <v>2190</v>
      </c>
      <c r="AB4" s="3591" t="s">
        <v>2191</v>
      </c>
      <c r="AC4" s="3590" t="s">
        <v>2192</v>
      </c>
    </row>
    <row r="5" spans="1:29" ht="15">
      <c r="A5" s="297"/>
      <c r="B5" s="298"/>
      <c r="C5" s="3586" t="s">
        <v>2195</v>
      </c>
      <c r="D5" s="3587"/>
      <c r="E5" s="3610" t="s">
        <v>2196</v>
      </c>
      <c r="F5" s="3611"/>
      <c r="G5" s="3586" t="s">
        <v>2197</v>
      </c>
      <c r="H5" s="3587"/>
      <c r="I5" s="3586" t="s">
        <v>2198</v>
      </c>
      <c r="J5" s="3587"/>
      <c r="K5" s="496"/>
      <c r="L5" s="2992"/>
      <c r="M5" s="2993"/>
      <c r="N5" s="2993"/>
      <c r="O5" s="2993"/>
      <c r="P5" s="3599"/>
      <c r="Q5" s="3600"/>
      <c r="R5" s="3605"/>
      <c r="S5" s="3606"/>
      <c r="T5" s="3605"/>
      <c r="U5" s="3606"/>
      <c r="V5" s="3609"/>
      <c r="W5" s="3609"/>
      <c r="X5" s="1304"/>
      <c r="Y5" s="3605"/>
      <c r="Z5" s="3606"/>
      <c r="AA5" s="3591"/>
      <c r="AB5" s="3591"/>
      <c r="AC5" s="3591"/>
    </row>
    <row r="6" spans="1:29" ht="15.75" thickBot="1">
      <c r="A6" s="299"/>
      <c r="B6" s="300"/>
      <c r="C6" s="3583" t="s">
        <v>2199</v>
      </c>
      <c r="D6" s="3584"/>
      <c r="E6" s="3581" t="s">
        <v>2199</v>
      </c>
      <c r="F6" s="3582"/>
      <c r="G6" s="3583" t="s">
        <v>2199</v>
      </c>
      <c r="H6" s="3584"/>
      <c r="I6" s="3583" t="s">
        <v>2199</v>
      </c>
      <c r="J6" s="3584"/>
      <c r="K6" s="496" t="s">
        <v>2200</v>
      </c>
      <c r="L6" s="2992"/>
      <c r="M6" s="2993"/>
      <c r="N6" s="2993"/>
      <c r="O6" s="2993"/>
      <c r="P6" s="3601"/>
      <c r="Q6" s="3602"/>
      <c r="R6" s="3605"/>
      <c r="S6" s="3606"/>
      <c r="T6" s="3607"/>
      <c r="U6" s="3608"/>
      <c r="V6" s="3609"/>
      <c r="W6" s="3609"/>
      <c r="X6" s="1304"/>
      <c r="Y6" s="3607"/>
      <c r="Z6" s="3608"/>
      <c r="AA6" s="3592"/>
      <c r="AB6" s="3592"/>
      <c r="AC6" s="3592"/>
    </row>
    <row r="7" spans="1:29" s="25" customFormat="1" ht="15.75" thickBot="1">
      <c r="A7" s="301" t="s">
        <v>2201</v>
      </c>
      <c r="B7" s="302"/>
      <c r="C7" s="303">
        <f>'数据-取费表'!B2</f>
        <v>44561</v>
      </c>
      <c r="D7" s="304">
        <v>100</v>
      </c>
      <c r="E7" s="305">
        <v>44531</v>
      </c>
      <c r="F7" s="306">
        <f>SUMIF(52:52,YEAR(E7)&amp;"-"&amp;MONTH(E7),53:53)</f>
        <v>100</v>
      </c>
      <c r="G7" s="305">
        <v>44531</v>
      </c>
      <c r="H7" s="304">
        <f>SUMIF(52:52,YEAR(G7)&amp;"-"&amp;MONTH(G7),53:53)</f>
        <v>100</v>
      </c>
      <c r="I7" s="305">
        <v>44531</v>
      </c>
      <c r="J7" s="304">
        <f>SUMIF(52:52,YEAR(I7)&amp;"-"&amp;MONTH(I7),53:53)</f>
        <v>100</v>
      </c>
      <c r="K7" s="497"/>
      <c r="L7" s="2994"/>
      <c r="M7" s="2995"/>
      <c r="N7" s="2995"/>
      <c r="O7" s="2995"/>
      <c r="P7" s="3588" t="s">
        <v>2202</v>
      </c>
      <c r="Q7" s="3612"/>
      <c r="R7" s="627" t="s">
        <v>25</v>
      </c>
      <c r="S7" s="628">
        <f t="shared" ref="S7:S15" si="0">F7</f>
        <v>100</v>
      </c>
      <c r="T7" s="627" t="s">
        <v>25</v>
      </c>
      <c r="U7" s="628">
        <f t="shared" ref="U7:U15" si="1">H7</f>
        <v>100</v>
      </c>
      <c r="V7" s="627" t="s">
        <v>25</v>
      </c>
      <c r="W7" s="628">
        <f t="shared" ref="W7:W15" si="2">J7</f>
        <v>100</v>
      </c>
      <c r="X7" s="629"/>
      <c r="Y7" s="3588" t="s">
        <v>2202</v>
      </c>
      <c r="Z7" s="3589"/>
      <c r="AA7" s="630">
        <f>D7/F7</f>
        <v>1</v>
      </c>
      <c r="AB7" s="630">
        <f>D7/H7</f>
        <v>1</v>
      </c>
      <c r="AC7" s="630">
        <f>D7/J7</f>
        <v>1</v>
      </c>
    </row>
    <row r="8" spans="1:29" s="25" customFormat="1" ht="15.75" thickBot="1">
      <c r="A8" s="301" t="s">
        <v>2203</v>
      </c>
      <c r="B8" s="302"/>
      <c r="C8" s="307" t="s">
        <v>2827</v>
      </c>
      <c r="D8" s="304">
        <v>100</v>
      </c>
      <c r="E8" s="3313" t="s">
        <v>3005</v>
      </c>
      <c r="F8" s="306">
        <f>SUMIF(55:55,E8,56:56)-SUMIF(55:55,C8,56:56)+100</f>
        <v>100</v>
      </c>
      <c r="G8" s="3313" t="s">
        <v>3005</v>
      </c>
      <c r="H8" s="304">
        <f>SUMIF(55:55,G8,56:56)-SUMIF(55:55,C8,56:56)+100</f>
        <v>100</v>
      </c>
      <c r="I8" s="3313" t="s">
        <v>3005</v>
      </c>
      <c r="J8" s="304">
        <f>SUMIF(55:55,I8,56:56)-SUMIF(55:55,C8,56:56)+100</f>
        <v>100</v>
      </c>
      <c r="K8" s="497"/>
      <c r="L8" s="2994"/>
      <c r="M8" s="2995"/>
      <c r="N8" s="2995"/>
      <c r="O8" s="2995"/>
      <c r="P8" s="3588" t="s">
        <v>2205</v>
      </c>
      <c r="Q8" s="3589"/>
      <c r="R8" s="627" t="s">
        <v>25</v>
      </c>
      <c r="S8" s="628">
        <f t="shared" si="0"/>
        <v>100</v>
      </c>
      <c r="T8" s="627" t="s">
        <v>25</v>
      </c>
      <c r="U8" s="628">
        <f t="shared" si="1"/>
        <v>100</v>
      </c>
      <c r="V8" s="627" t="s">
        <v>25</v>
      </c>
      <c r="W8" s="628">
        <f t="shared" si="2"/>
        <v>100</v>
      </c>
      <c r="X8" s="629"/>
      <c r="Y8" s="3588" t="s">
        <v>2205</v>
      </c>
      <c r="Z8" s="3589"/>
      <c r="AA8" s="630">
        <f t="shared" ref="AA8:AA40" si="3">D8/F8</f>
        <v>1</v>
      </c>
      <c r="AB8" s="630">
        <f t="shared" ref="AB8:AB40" si="4">D8/H8</f>
        <v>1</v>
      </c>
      <c r="AC8" s="630">
        <f t="shared" ref="AC8:AC40" si="5">D8/J8</f>
        <v>1</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585" t="s">
        <v>2208</v>
      </c>
      <c r="Q9" s="1296" t="str">
        <f t="shared" ref="Q9:Q15" si="6">B9</f>
        <v>用途</v>
      </c>
      <c r="R9" s="627" t="s">
        <v>25</v>
      </c>
      <c r="S9" s="628">
        <f t="shared" si="0"/>
        <v>100</v>
      </c>
      <c r="T9" s="627" t="s">
        <v>25</v>
      </c>
      <c r="U9" s="628">
        <f t="shared" si="1"/>
        <v>100</v>
      </c>
      <c r="V9" s="627" t="s">
        <v>25</v>
      </c>
      <c r="W9" s="628">
        <f t="shared" si="2"/>
        <v>100</v>
      </c>
      <c r="X9" s="629"/>
      <c r="Y9" s="3615"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585"/>
      <c r="Q10" s="1296" t="str">
        <f t="shared" si="6"/>
        <v>土地使用年限（年）</v>
      </c>
      <c r="R10" s="627" t="s">
        <v>25</v>
      </c>
      <c r="S10" s="628">
        <f t="shared" si="0"/>
        <v>100</v>
      </c>
      <c r="T10" s="627" t="s">
        <v>25</v>
      </c>
      <c r="U10" s="628">
        <f t="shared" si="1"/>
        <v>100</v>
      </c>
      <c r="V10" s="627" t="s">
        <v>25</v>
      </c>
      <c r="W10" s="628">
        <f t="shared" si="2"/>
        <v>100</v>
      </c>
      <c r="X10" s="629"/>
      <c r="Y10" s="3615"/>
      <c r="Z10" s="19" t="str">
        <f t="shared" si="7"/>
        <v>土地使用年限（年）</v>
      </c>
      <c r="AA10" s="630">
        <f t="shared" si="3"/>
        <v>1</v>
      </c>
      <c r="AB10" s="630">
        <f t="shared" si="4"/>
        <v>1</v>
      </c>
      <c r="AC10" s="630">
        <f t="shared" si="5"/>
        <v>1</v>
      </c>
    </row>
    <row r="11" spans="1:29" ht="15">
      <c r="A11" s="318"/>
      <c r="B11" s="313" t="s">
        <v>2211</v>
      </c>
      <c r="C11" s="319"/>
      <c r="D11" s="29">
        <v>100</v>
      </c>
      <c r="E11" s="319"/>
      <c r="F11" s="29">
        <f>LOOKUP(E11,62:62,63:63)-LOOKUP(C11,62:62,63:63)+100</f>
        <v>100</v>
      </c>
      <c r="G11" s="320"/>
      <c r="H11" s="29">
        <f>LOOKUP(G11,62:62,63:63)-LOOKUP(C11,62:62,63:63)+100</f>
        <v>100</v>
      </c>
      <c r="I11" s="319"/>
      <c r="J11" s="29">
        <f>LOOKUP(I11,62:62,63:63)-LOOKUP(C11,62:62,63:63)+100</f>
        <v>100</v>
      </c>
      <c r="K11" s="498"/>
      <c r="L11" s="3000"/>
      <c r="M11" s="2993"/>
      <c r="N11" s="2993"/>
      <c r="O11" s="3001"/>
      <c r="P11" s="3585"/>
      <c r="Q11" s="1296" t="str">
        <f t="shared" si="6"/>
        <v>容积率</v>
      </c>
      <c r="R11" s="627" t="s">
        <v>25</v>
      </c>
      <c r="S11" s="628">
        <f t="shared" si="0"/>
        <v>100</v>
      </c>
      <c r="T11" s="627" t="s">
        <v>25</v>
      </c>
      <c r="U11" s="628">
        <f t="shared" si="1"/>
        <v>100</v>
      </c>
      <c r="V11" s="627" t="s">
        <v>25</v>
      </c>
      <c r="W11" s="628">
        <f t="shared" si="2"/>
        <v>100</v>
      </c>
      <c r="X11" s="629"/>
      <c r="Y11" s="3615"/>
      <c r="Z11" s="19" t="str">
        <f t="shared" si="7"/>
        <v>容积率</v>
      </c>
      <c r="AA11" s="630">
        <f t="shared" si="3"/>
        <v>1</v>
      </c>
      <c r="AB11" s="630">
        <f t="shared" si="4"/>
        <v>1</v>
      </c>
      <c r="AC11" s="630">
        <f t="shared" si="5"/>
        <v>1</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94"/>
      <c r="M12" s="2995"/>
      <c r="N12" s="2995"/>
      <c r="O12" s="2996"/>
      <c r="P12" s="3585"/>
      <c r="Q12" s="1296">
        <f t="shared" si="6"/>
        <v>111</v>
      </c>
      <c r="R12" s="627" t="s">
        <v>25</v>
      </c>
      <c r="S12" s="628">
        <f t="shared" si="0"/>
        <v>100</v>
      </c>
      <c r="T12" s="627" t="s">
        <v>25</v>
      </c>
      <c r="U12" s="628">
        <f t="shared" si="1"/>
        <v>100</v>
      </c>
      <c r="V12" s="627" t="s">
        <v>25</v>
      </c>
      <c r="W12" s="628">
        <f t="shared" si="2"/>
        <v>100</v>
      </c>
      <c r="X12" s="629"/>
      <c r="Y12" s="3615"/>
      <c r="Z12" s="19">
        <f t="shared" si="7"/>
        <v>111</v>
      </c>
      <c r="AA12" s="630">
        <f>D12/F12</f>
        <v>1</v>
      </c>
      <c r="AB12" s="630">
        <f>D12/H12</f>
        <v>1</v>
      </c>
      <c r="AC12" s="630">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3002"/>
      <c r="M13" s="2993"/>
      <c r="N13" s="2993"/>
      <c r="O13" s="3001"/>
      <c r="P13" s="3585"/>
      <c r="Q13" s="1296">
        <f t="shared" si="6"/>
        <v>111</v>
      </c>
      <c r="R13" s="627" t="s">
        <v>25</v>
      </c>
      <c r="S13" s="628">
        <f t="shared" si="0"/>
        <v>100</v>
      </c>
      <c r="T13" s="627" t="s">
        <v>25</v>
      </c>
      <c r="U13" s="628">
        <f t="shared" si="1"/>
        <v>100</v>
      </c>
      <c r="V13" s="627" t="s">
        <v>25</v>
      </c>
      <c r="W13" s="628">
        <f t="shared" si="2"/>
        <v>100</v>
      </c>
      <c r="X13" s="629"/>
      <c r="Y13" s="3615"/>
      <c r="Z13" s="19">
        <f t="shared" si="7"/>
        <v>111</v>
      </c>
      <c r="AA13" s="630">
        <f t="shared" si="3"/>
        <v>1</v>
      </c>
      <c r="AB13" s="630">
        <f t="shared" si="4"/>
        <v>1</v>
      </c>
      <c r="AC13" s="630">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3002"/>
      <c r="M14" s="2993"/>
      <c r="N14" s="2993"/>
      <c r="O14" s="3001"/>
      <c r="P14" s="3585"/>
      <c r="Q14" s="1296">
        <f t="shared" si="6"/>
        <v>111</v>
      </c>
      <c r="R14" s="627" t="s">
        <v>25</v>
      </c>
      <c r="S14" s="628">
        <f t="shared" si="0"/>
        <v>100</v>
      </c>
      <c r="T14" s="627" t="s">
        <v>25</v>
      </c>
      <c r="U14" s="628">
        <f t="shared" si="1"/>
        <v>100</v>
      </c>
      <c r="V14" s="627" t="s">
        <v>25</v>
      </c>
      <c r="W14" s="628">
        <f t="shared" si="2"/>
        <v>100</v>
      </c>
      <c r="X14" s="629"/>
      <c r="Y14" s="3615"/>
      <c r="Z14" s="19">
        <f t="shared" si="7"/>
        <v>111</v>
      </c>
      <c r="AA14" s="630">
        <f t="shared" si="3"/>
        <v>1</v>
      </c>
      <c r="AB14" s="630">
        <f t="shared" si="4"/>
        <v>1</v>
      </c>
      <c r="AC14" s="630">
        <f t="shared" si="5"/>
        <v>1</v>
      </c>
    </row>
    <row r="15" spans="1:29" ht="57">
      <c r="A15" s="329" t="s">
        <v>2212</v>
      </c>
      <c r="B15" s="22" t="s">
        <v>2344</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13" t="s">
        <v>2213</v>
      </c>
      <c r="Q15" s="1303" t="str">
        <f t="shared" si="6"/>
        <v>产业集聚程度</v>
      </c>
      <c r="R15" s="631" t="s">
        <v>25</v>
      </c>
      <c r="S15" s="632">
        <f t="shared" si="0"/>
        <v>100</v>
      </c>
      <c r="T15" s="631" t="s">
        <v>25</v>
      </c>
      <c r="U15" s="632">
        <f t="shared" si="1"/>
        <v>100</v>
      </c>
      <c r="V15" s="631" t="s">
        <v>25</v>
      </c>
      <c r="W15" s="632">
        <f t="shared" si="2"/>
        <v>100</v>
      </c>
      <c r="X15" s="1304"/>
      <c r="Y15" s="3613" t="s">
        <v>2213</v>
      </c>
      <c r="Z15" s="1305" t="str">
        <f t="shared" si="7"/>
        <v>产业集聚程度</v>
      </c>
      <c r="AA15" s="1306">
        <f t="shared" si="3"/>
        <v>1</v>
      </c>
      <c r="AB15" s="1306">
        <f t="shared" si="4"/>
        <v>1</v>
      </c>
      <c r="AC15" s="1306">
        <f t="shared" si="5"/>
        <v>1</v>
      </c>
    </row>
    <row r="16" spans="1:29" ht="15">
      <c r="A16" s="318"/>
      <c r="B16" s="334"/>
      <c r="C16" s="335"/>
      <c r="D16" s="336"/>
      <c r="E16" s="335"/>
      <c r="F16" s="338"/>
      <c r="G16" s="335"/>
      <c r="H16" s="339"/>
      <c r="I16" s="335"/>
      <c r="J16" s="336"/>
      <c r="K16" s="501"/>
      <c r="L16" s="3002"/>
      <c r="M16" s="2993"/>
      <c r="N16" s="2993"/>
      <c r="O16" s="3001"/>
      <c r="P16" s="3614"/>
      <c r="Q16" s="1303"/>
      <c r="R16" s="631"/>
      <c r="S16" s="632"/>
      <c r="T16" s="631"/>
      <c r="U16" s="632"/>
      <c r="V16" s="631"/>
      <c r="W16" s="632"/>
      <c r="X16" s="1304"/>
      <c r="Y16" s="3614"/>
      <c r="Z16" s="1305"/>
      <c r="AA16" s="1306">
        <v>1</v>
      </c>
      <c r="AB16" s="1306">
        <v>1</v>
      </c>
      <c r="AC16" s="1306">
        <v>1</v>
      </c>
    </row>
    <row r="17" spans="1:29" ht="71.25">
      <c r="A17" s="318"/>
      <c r="B17" s="340" t="s">
        <v>1649</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14"/>
      <c r="Q17" s="1303" t="str">
        <f>B17</f>
        <v>交通便捷度</v>
      </c>
      <c r="R17" s="631" t="s">
        <v>25</v>
      </c>
      <c r="S17" s="632">
        <f>F17</f>
        <v>100</v>
      </c>
      <c r="T17" s="631" t="s">
        <v>25</v>
      </c>
      <c r="U17" s="632">
        <f>H17</f>
        <v>100</v>
      </c>
      <c r="V17" s="631" t="s">
        <v>25</v>
      </c>
      <c r="W17" s="632">
        <f>J17</f>
        <v>100</v>
      </c>
      <c r="X17" s="1304"/>
      <c r="Y17" s="3614"/>
      <c r="Z17" s="1305" t="str">
        <f>Q17</f>
        <v>交通便捷度</v>
      </c>
      <c r="AA17" s="1306">
        <f t="shared" si="3"/>
        <v>1</v>
      </c>
      <c r="AB17" s="1306">
        <f t="shared" si="4"/>
        <v>1</v>
      </c>
      <c r="AC17" s="1306">
        <f t="shared" si="5"/>
        <v>1</v>
      </c>
    </row>
    <row r="18" spans="1:29" ht="15">
      <c r="A18" s="318"/>
      <c r="B18" s="345"/>
      <c r="C18" s="346"/>
      <c r="D18" s="339"/>
      <c r="E18" s="1101"/>
      <c r="F18" s="342"/>
      <c r="G18" s="1537"/>
      <c r="H18" s="336"/>
      <c r="I18" s="1101"/>
      <c r="J18" s="336"/>
      <c r="K18" s="501"/>
      <c r="L18" s="3002"/>
      <c r="M18" s="2993"/>
      <c r="N18" s="2993"/>
      <c r="O18" s="3001"/>
      <c r="P18" s="3614"/>
      <c r="Q18" s="1303"/>
      <c r="R18" s="631"/>
      <c r="S18" s="632"/>
      <c r="T18" s="631"/>
      <c r="U18" s="632"/>
      <c r="V18" s="631"/>
      <c r="W18" s="632"/>
      <c r="X18" s="1304"/>
      <c r="Y18" s="3614"/>
      <c r="Z18" s="1305"/>
      <c r="AA18" s="1306">
        <v>1</v>
      </c>
      <c r="AB18" s="1306">
        <v>1</v>
      </c>
      <c r="AC18" s="1306">
        <v>1</v>
      </c>
    </row>
    <row r="19" spans="1:29" ht="42.75">
      <c r="A19" s="318"/>
      <c r="B19" s="513" t="s">
        <v>2328</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14"/>
      <c r="Q19" s="1303" t="str">
        <f>B19</f>
        <v>公共配套设施</v>
      </c>
      <c r="R19" s="631" t="s">
        <v>25</v>
      </c>
      <c r="S19" s="632">
        <f>F19</f>
        <v>100</v>
      </c>
      <c r="T19" s="631" t="s">
        <v>25</v>
      </c>
      <c r="U19" s="632">
        <f>H19</f>
        <v>100</v>
      </c>
      <c r="V19" s="631" t="s">
        <v>25</v>
      </c>
      <c r="W19" s="632">
        <f>J19</f>
        <v>100</v>
      </c>
      <c r="X19" s="1304"/>
      <c r="Y19" s="3614"/>
      <c r="Z19" s="1305" t="str">
        <f>Q19</f>
        <v>公共配套设施</v>
      </c>
      <c r="AA19" s="1306">
        <f t="shared" si="3"/>
        <v>1</v>
      </c>
      <c r="AB19" s="1306">
        <f t="shared" si="4"/>
        <v>1</v>
      </c>
      <c r="AC19" s="1306">
        <f t="shared" si="5"/>
        <v>1</v>
      </c>
    </row>
    <row r="20" spans="1:29" ht="15">
      <c r="A20" s="318"/>
      <c r="B20" s="514"/>
      <c r="C20" s="335"/>
      <c r="D20" s="336"/>
      <c r="E20" s="337"/>
      <c r="F20" s="338"/>
      <c r="G20" s="1535"/>
      <c r="H20" s="336"/>
      <c r="I20" s="337"/>
      <c r="J20" s="336"/>
      <c r="K20" s="501"/>
      <c r="L20" s="3002"/>
      <c r="M20" s="2993"/>
      <c r="N20" s="2993"/>
      <c r="O20" s="3001"/>
      <c r="P20" s="3614"/>
      <c r="Q20" s="1303"/>
      <c r="R20" s="631"/>
      <c r="S20" s="632"/>
      <c r="T20" s="631"/>
      <c r="U20" s="632"/>
      <c r="V20" s="631"/>
      <c r="W20" s="632"/>
      <c r="X20" s="1304"/>
      <c r="Y20" s="3614"/>
      <c r="Z20" s="1305"/>
      <c r="AA20" s="1306">
        <v>1</v>
      </c>
      <c r="AB20" s="1306">
        <v>1</v>
      </c>
      <c r="AC20" s="1306">
        <v>1</v>
      </c>
    </row>
    <row r="21" spans="1:29" ht="28.5">
      <c r="A21" s="318"/>
      <c r="B21" s="515" t="s">
        <v>2329</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14"/>
      <c r="Q21" s="1303" t="str">
        <f>B21</f>
        <v>基础设施水平</v>
      </c>
      <c r="R21" s="631" t="s">
        <v>25</v>
      </c>
      <c r="S21" s="632">
        <f>F21</f>
        <v>100</v>
      </c>
      <c r="T21" s="631" t="s">
        <v>25</v>
      </c>
      <c r="U21" s="632">
        <f>H21</f>
        <v>100</v>
      </c>
      <c r="V21" s="631" t="s">
        <v>25</v>
      </c>
      <c r="W21" s="632">
        <f>J21</f>
        <v>100</v>
      </c>
      <c r="X21" s="1304"/>
      <c r="Y21" s="3614"/>
      <c r="Z21" s="1305" t="str">
        <f>Q21</f>
        <v>基础设施水平</v>
      </c>
      <c r="AA21" s="1306">
        <f t="shared" ref="AA21" si="8">D21/F21</f>
        <v>1</v>
      </c>
      <c r="AB21" s="1306">
        <f t="shared" ref="AB21" si="9">D21/H21</f>
        <v>1</v>
      </c>
      <c r="AC21" s="1306">
        <f t="shared" ref="AC21" si="10">D21/J21</f>
        <v>1</v>
      </c>
    </row>
    <row r="22" spans="1:29" ht="15">
      <c r="A22" s="318"/>
      <c r="B22" s="1538"/>
      <c r="C22" s="346"/>
      <c r="D22" s="336"/>
      <c r="E22" s="335"/>
      <c r="F22" s="338"/>
      <c r="G22" s="335"/>
      <c r="H22" s="336"/>
      <c r="I22" s="335"/>
      <c r="J22" s="336"/>
      <c r="K22" s="1102"/>
      <c r="L22" s="3002"/>
      <c r="M22" s="2993"/>
      <c r="N22" s="2993"/>
      <c r="O22" s="3001"/>
      <c r="P22" s="3614"/>
      <c r="Q22" s="1303"/>
      <c r="R22" s="631"/>
      <c r="S22" s="632"/>
      <c r="T22" s="631"/>
      <c r="U22" s="632"/>
      <c r="V22" s="631"/>
      <c r="W22" s="632"/>
      <c r="X22" s="1304"/>
      <c r="Y22" s="3614"/>
      <c r="Z22" s="1305"/>
      <c r="AA22" s="1306">
        <v>1</v>
      </c>
      <c r="AB22" s="1306">
        <v>1</v>
      </c>
      <c r="AC22" s="1306">
        <v>1</v>
      </c>
    </row>
    <row r="23" spans="1:29" ht="57">
      <c r="A23" s="318"/>
      <c r="B23" s="340" t="s">
        <v>2330</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14"/>
      <c r="Q23" s="1303" t="str">
        <f>B23</f>
        <v>环境质量</v>
      </c>
      <c r="R23" s="631" t="s">
        <v>25</v>
      </c>
      <c r="S23" s="632">
        <f>F23</f>
        <v>100</v>
      </c>
      <c r="T23" s="631" t="s">
        <v>25</v>
      </c>
      <c r="U23" s="632">
        <f>H23</f>
        <v>100</v>
      </c>
      <c r="V23" s="631" t="s">
        <v>25</v>
      </c>
      <c r="W23" s="632">
        <f>J23</f>
        <v>100</v>
      </c>
      <c r="X23" s="1304"/>
      <c r="Y23" s="3614"/>
      <c r="Z23" s="1305" t="str">
        <f>Q23</f>
        <v>环境质量</v>
      </c>
      <c r="AA23" s="1306">
        <f t="shared" si="3"/>
        <v>1</v>
      </c>
      <c r="AB23" s="1306">
        <f t="shared" si="4"/>
        <v>1</v>
      </c>
      <c r="AC23" s="1306">
        <f t="shared" si="5"/>
        <v>1</v>
      </c>
    </row>
    <row r="24" spans="1:29" ht="15">
      <c r="A24" s="318"/>
      <c r="B24" s="1538"/>
      <c r="C24" s="335"/>
      <c r="D24" s="336"/>
      <c r="E24" s="337"/>
      <c r="F24" s="338"/>
      <c r="G24" s="1535"/>
      <c r="H24" s="336"/>
      <c r="I24" s="337"/>
      <c r="J24" s="336"/>
      <c r="K24" s="501"/>
      <c r="L24" s="3002"/>
      <c r="M24" s="2993"/>
      <c r="N24" s="2993"/>
      <c r="O24" s="3001"/>
      <c r="P24" s="3614"/>
      <c r="Q24" s="1303"/>
      <c r="R24" s="631"/>
      <c r="S24" s="632"/>
      <c r="T24" s="631"/>
      <c r="U24" s="632"/>
      <c r="V24" s="631"/>
      <c r="W24" s="632"/>
      <c r="X24" s="1304"/>
      <c r="Y24" s="3614"/>
      <c r="Z24" s="1305"/>
      <c r="AA24" s="1306">
        <v>1</v>
      </c>
      <c r="AB24" s="1306">
        <v>1</v>
      </c>
      <c r="AC24" s="1306">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14"/>
      <c r="Q25" s="1303">
        <f>B25</f>
        <v>111</v>
      </c>
      <c r="R25" s="631" t="s">
        <v>25</v>
      </c>
      <c r="S25" s="632">
        <f>F25</f>
        <v>100</v>
      </c>
      <c r="T25" s="631" t="s">
        <v>25</v>
      </c>
      <c r="U25" s="632">
        <f>H25</f>
        <v>100</v>
      </c>
      <c r="V25" s="631" t="s">
        <v>25</v>
      </c>
      <c r="W25" s="632">
        <f>J25</f>
        <v>100</v>
      </c>
      <c r="X25" s="1304"/>
      <c r="Y25" s="3614"/>
      <c r="Z25" s="1305">
        <f>Q25</f>
        <v>111</v>
      </c>
      <c r="AA25" s="1306">
        <f t="shared" si="3"/>
        <v>1</v>
      </c>
      <c r="AB25" s="1306">
        <f t="shared" si="4"/>
        <v>1</v>
      </c>
      <c r="AC25" s="1306">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14"/>
      <c r="Q26" s="1303">
        <f t="shared" ref="Q26:Q40" si="11">B26</f>
        <v>111</v>
      </c>
      <c r="R26" s="631" t="s">
        <v>25</v>
      </c>
      <c r="S26" s="632">
        <f>F26</f>
        <v>100</v>
      </c>
      <c r="T26" s="631" t="s">
        <v>25</v>
      </c>
      <c r="U26" s="632">
        <f>H26</f>
        <v>100</v>
      </c>
      <c r="V26" s="631" t="s">
        <v>25</v>
      </c>
      <c r="W26" s="632">
        <f>J26</f>
        <v>100</v>
      </c>
      <c r="X26" s="1304"/>
      <c r="Y26" s="3614"/>
      <c r="Z26" s="1305">
        <f>Q26</f>
        <v>111</v>
      </c>
      <c r="AA26" s="1306">
        <f t="shared" si="3"/>
        <v>1</v>
      </c>
      <c r="AB26" s="1306">
        <f t="shared" si="4"/>
        <v>1</v>
      </c>
      <c r="AC26" s="1306">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14"/>
      <c r="Q27" s="1296">
        <f t="shared" si="11"/>
        <v>111</v>
      </c>
      <c r="R27" s="627" t="s">
        <v>25</v>
      </c>
      <c r="S27" s="628">
        <f>F27</f>
        <v>100</v>
      </c>
      <c r="T27" s="627" t="s">
        <v>25</v>
      </c>
      <c r="U27" s="628">
        <f>H27</f>
        <v>100</v>
      </c>
      <c r="V27" s="627" t="s">
        <v>25</v>
      </c>
      <c r="W27" s="628">
        <f>J27</f>
        <v>100</v>
      </c>
      <c r="X27" s="629"/>
      <c r="Y27" s="3614"/>
      <c r="Z27" s="19">
        <f>Q27</f>
        <v>111</v>
      </c>
      <c r="AA27" s="1306">
        <f>D27/F27</f>
        <v>1</v>
      </c>
      <c r="AB27" s="1306">
        <f>D27/H27</f>
        <v>1</v>
      </c>
      <c r="AC27" s="1306">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14"/>
      <c r="Q28" s="1303">
        <f t="shared" si="11"/>
        <v>111</v>
      </c>
      <c r="R28" s="631" t="s">
        <v>25</v>
      </c>
      <c r="S28" s="632">
        <f t="shared" ref="S28:S40" si="12">F28</f>
        <v>100</v>
      </c>
      <c r="T28" s="631" t="s">
        <v>25</v>
      </c>
      <c r="U28" s="632">
        <f t="shared" ref="U28:U40" si="13">H28</f>
        <v>100</v>
      </c>
      <c r="V28" s="631" t="s">
        <v>25</v>
      </c>
      <c r="W28" s="632">
        <f t="shared" ref="W28:W40" si="14">J28</f>
        <v>100</v>
      </c>
      <c r="X28" s="1304"/>
      <c r="Y28" s="3614"/>
      <c r="Z28" s="1305">
        <f t="shared" ref="Z28:Z40" si="15">Q28</f>
        <v>111</v>
      </c>
      <c r="AA28" s="1306">
        <f t="shared" si="3"/>
        <v>1</v>
      </c>
      <c r="AB28" s="1306">
        <f t="shared" si="4"/>
        <v>1</v>
      </c>
      <c r="AC28" s="1306">
        <f t="shared" si="5"/>
        <v>1</v>
      </c>
    </row>
    <row r="29" spans="1:29" ht="28.5">
      <c r="A29" s="354" t="s">
        <v>2217</v>
      </c>
      <c r="B29" s="24" t="s">
        <v>2333</v>
      </c>
      <c r="C29" s="1546"/>
      <c r="D29" s="355">
        <v>100</v>
      </c>
      <c r="E29" s="1546"/>
      <c r="F29" s="351">
        <f>SUMIF(88:88,E29,89:89)-SUMIF(88:88,C29,89:89)+100</f>
        <v>100</v>
      </c>
      <c r="G29" s="1546"/>
      <c r="H29" s="325">
        <f>SUMIF(88:88,G29,89:89)-SUMIF(88:88,C29,89:89)+100</f>
        <v>100</v>
      </c>
      <c r="I29" s="1546"/>
      <c r="J29" s="355">
        <f>SUMIF(88:88,I29,89:89)-SUMIF(88:88,C29,89:89)+100</f>
        <v>100</v>
      </c>
      <c r="K29" s="498"/>
      <c r="L29" s="3002"/>
      <c r="M29" s="2993"/>
      <c r="N29" s="2993"/>
      <c r="O29" s="3001"/>
      <c r="P29" s="3616" t="s">
        <v>2219</v>
      </c>
      <c r="Q29" s="1303" t="str">
        <f t="shared" si="11"/>
        <v>建筑类型</v>
      </c>
      <c r="R29" s="631" t="s">
        <v>25</v>
      </c>
      <c r="S29" s="632">
        <f t="shared" si="12"/>
        <v>100</v>
      </c>
      <c r="T29" s="631" t="s">
        <v>25</v>
      </c>
      <c r="U29" s="632">
        <f t="shared" si="13"/>
        <v>100</v>
      </c>
      <c r="V29" s="631" t="s">
        <v>25</v>
      </c>
      <c r="W29" s="632">
        <f t="shared" si="14"/>
        <v>100</v>
      </c>
      <c r="X29" s="1304"/>
      <c r="Y29" s="3617" t="s">
        <v>2219</v>
      </c>
      <c r="Z29" s="1305" t="str">
        <f t="shared" si="15"/>
        <v>建筑类型</v>
      </c>
      <c r="AA29" s="1306">
        <f t="shared" si="3"/>
        <v>1</v>
      </c>
      <c r="AB29" s="1306">
        <f t="shared" si="4"/>
        <v>1</v>
      </c>
      <c r="AC29" s="1306">
        <f t="shared" si="5"/>
        <v>1</v>
      </c>
    </row>
    <row r="30" spans="1:29" s="359" customFormat="1" ht="15">
      <c r="A30" s="356"/>
      <c r="B30" s="313" t="s">
        <v>2220</v>
      </c>
      <c r="C30" s="357">
        <f>项目基本情况!C12</f>
        <v>393.43</v>
      </c>
      <c r="D30" s="29">
        <v>100</v>
      </c>
      <c r="E30" s="320">
        <v>350</v>
      </c>
      <c r="F30" s="316">
        <f>LOOKUP(E30,91:91,92:92)-LOOKUP(C30,91:91,92:92)+100</f>
        <v>100</v>
      </c>
      <c r="G30" s="319">
        <v>430</v>
      </c>
      <c r="H30" s="29">
        <f>LOOKUP(G30,91:91,92:92)-LOOKUP(C30,91:91,92:92)+100</f>
        <v>98</v>
      </c>
      <c r="I30" s="319">
        <v>255</v>
      </c>
      <c r="J30" s="29">
        <f>LOOKUP(I30,91:91,92:92)-LOOKUP(C30,91:91,92:92)+100</f>
        <v>102</v>
      </c>
      <c r="K30" s="499"/>
      <c r="L30" s="3000"/>
      <c r="M30" s="358"/>
      <c r="N30" s="358"/>
      <c r="O30" s="3003"/>
      <c r="P30" s="3617"/>
      <c r="Q30" s="633" t="str">
        <f t="shared" si="11"/>
        <v>项目建筑规模</v>
      </c>
      <c r="R30" s="634" t="s">
        <v>25</v>
      </c>
      <c r="S30" s="635">
        <f t="shared" si="12"/>
        <v>100</v>
      </c>
      <c r="T30" s="634" t="s">
        <v>25</v>
      </c>
      <c r="U30" s="635">
        <f t="shared" si="13"/>
        <v>98</v>
      </c>
      <c r="V30" s="634" t="s">
        <v>25</v>
      </c>
      <c r="W30" s="635">
        <f t="shared" si="14"/>
        <v>102</v>
      </c>
      <c r="X30" s="636"/>
      <c r="Y30" s="3617"/>
      <c r="Z30" s="637" t="str">
        <f t="shared" si="15"/>
        <v>项目建筑规模</v>
      </c>
      <c r="AA30" s="1306">
        <f t="shared" si="3"/>
        <v>1</v>
      </c>
      <c r="AB30" s="1306">
        <f t="shared" si="4"/>
        <v>1.0204081632653061</v>
      </c>
      <c r="AC30" s="1306">
        <f t="shared" si="5"/>
        <v>0.98039215686274506</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17"/>
      <c r="Q31" s="1303" t="str">
        <f t="shared" si="11"/>
        <v>建筑结构</v>
      </c>
      <c r="R31" s="631" t="s">
        <v>25</v>
      </c>
      <c r="S31" s="632">
        <f t="shared" si="12"/>
        <v>100</v>
      </c>
      <c r="T31" s="631" t="s">
        <v>25</v>
      </c>
      <c r="U31" s="632">
        <f t="shared" si="13"/>
        <v>100</v>
      </c>
      <c r="V31" s="631" t="s">
        <v>25</v>
      </c>
      <c r="W31" s="632">
        <f t="shared" si="14"/>
        <v>100</v>
      </c>
      <c r="X31" s="1304"/>
      <c r="Y31" s="3617"/>
      <c r="Z31" s="1305" t="str">
        <f t="shared" si="15"/>
        <v>建筑结构</v>
      </c>
      <c r="AA31" s="1306">
        <f t="shared" si="3"/>
        <v>1</v>
      </c>
      <c r="AB31" s="1306">
        <f t="shared" si="4"/>
        <v>1</v>
      </c>
      <c r="AC31" s="1306">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17"/>
      <c r="Q32" s="1303" t="str">
        <f t="shared" si="11"/>
        <v>公共部分装修</v>
      </c>
      <c r="R32" s="631" t="s">
        <v>25</v>
      </c>
      <c r="S32" s="632">
        <f t="shared" si="12"/>
        <v>100</v>
      </c>
      <c r="T32" s="631" t="s">
        <v>25</v>
      </c>
      <c r="U32" s="632">
        <f t="shared" si="13"/>
        <v>100</v>
      </c>
      <c r="V32" s="631" t="s">
        <v>25</v>
      </c>
      <c r="W32" s="632">
        <f t="shared" si="14"/>
        <v>100</v>
      </c>
      <c r="X32" s="1304"/>
      <c r="Y32" s="3617"/>
      <c r="Z32" s="1305" t="str">
        <f t="shared" si="15"/>
        <v>公共部分装修</v>
      </c>
      <c r="AA32" s="1306">
        <f t="shared" si="3"/>
        <v>1</v>
      </c>
      <c r="AB32" s="1306">
        <f t="shared" si="4"/>
        <v>1</v>
      </c>
      <c r="AC32" s="1306">
        <f t="shared" si="5"/>
        <v>1</v>
      </c>
    </row>
    <row r="33" spans="1:29" ht="15">
      <c r="A33" s="360"/>
      <c r="B33" s="313" t="s">
        <v>2307</v>
      </c>
      <c r="C33" s="362">
        <v>0.7</v>
      </c>
      <c r="D33" s="325">
        <v>100</v>
      </c>
      <c r="E33" s="362">
        <v>0.72</v>
      </c>
      <c r="F33" s="351">
        <f>LOOKUP(E33,98:98,99:99)-LOOKUP(C33,98:98,99:99)+100</f>
        <v>100</v>
      </c>
      <c r="G33" s="362">
        <v>0.72</v>
      </c>
      <c r="H33" s="351">
        <f>LOOKUP(G33,98:98,99:99)-LOOKUP(C33,98:98,99:99)+100</f>
        <v>100</v>
      </c>
      <c r="I33" s="362">
        <v>0.72</v>
      </c>
      <c r="J33" s="325">
        <f>LOOKUP(I33,98:98,99:99)-LOOKUP(C33,98:98,99:99)+100</f>
        <v>100</v>
      </c>
      <c r="K33" s="498"/>
      <c r="L33" s="3002"/>
      <c r="M33" s="2993"/>
      <c r="N33" s="2993"/>
      <c r="O33" s="3001"/>
      <c r="P33" s="3617"/>
      <c r="Q33" s="1303" t="str">
        <f t="shared" si="11"/>
        <v>成新度</v>
      </c>
      <c r="R33" s="631" t="s">
        <v>25</v>
      </c>
      <c r="S33" s="632">
        <f t="shared" si="12"/>
        <v>100</v>
      </c>
      <c r="T33" s="631" t="s">
        <v>25</v>
      </c>
      <c r="U33" s="632">
        <f t="shared" si="13"/>
        <v>100</v>
      </c>
      <c r="V33" s="631" t="s">
        <v>25</v>
      </c>
      <c r="W33" s="632">
        <f t="shared" si="14"/>
        <v>100</v>
      </c>
      <c r="X33" s="1304"/>
      <c r="Y33" s="3617"/>
      <c r="Z33" s="1305" t="str">
        <f t="shared" si="15"/>
        <v>成新度</v>
      </c>
      <c r="AA33" s="1306">
        <f t="shared" si="3"/>
        <v>1</v>
      </c>
      <c r="AB33" s="1306">
        <f t="shared" si="4"/>
        <v>1</v>
      </c>
      <c r="AC33" s="1306">
        <f t="shared" si="5"/>
        <v>1</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17"/>
      <c r="Q34" s="1296" t="str">
        <f t="shared" si="11"/>
        <v>物业管理</v>
      </c>
      <c r="R34" s="627" t="s">
        <v>25</v>
      </c>
      <c r="S34" s="628">
        <f t="shared" si="12"/>
        <v>100</v>
      </c>
      <c r="T34" s="627" t="s">
        <v>25</v>
      </c>
      <c r="U34" s="628">
        <f t="shared" si="13"/>
        <v>100</v>
      </c>
      <c r="V34" s="627" t="s">
        <v>25</v>
      </c>
      <c r="W34" s="628">
        <f t="shared" si="14"/>
        <v>100</v>
      </c>
      <c r="X34" s="629"/>
      <c r="Y34" s="3617"/>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17" t="s">
        <v>2219</v>
      </c>
      <c r="Q35" s="1303" t="str">
        <f t="shared" si="11"/>
        <v>市政基础设施</v>
      </c>
      <c r="R35" s="631" t="s">
        <v>25</v>
      </c>
      <c r="S35" s="632">
        <f t="shared" si="12"/>
        <v>100</v>
      </c>
      <c r="T35" s="631" t="s">
        <v>25</v>
      </c>
      <c r="U35" s="632">
        <f t="shared" si="13"/>
        <v>100</v>
      </c>
      <c r="V35" s="631" t="s">
        <v>25</v>
      </c>
      <c r="W35" s="632">
        <f t="shared" si="14"/>
        <v>100</v>
      </c>
      <c r="X35" s="1304"/>
      <c r="Y35" s="3617" t="s">
        <v>2219</v>
      </c>
      <c r="Z35" s="1305" t="str">
        <f t="shared" si="15"/>
        <v>市政基础设施</v>
      </c>
      <c r="AA35" s="1306">
        <f t="shared" si="3"/>
        <v>1</v>
      </c>
      <c r="AB35" s="1306">
        <f t="shared" si="4"/>
        <v>1</v>
      </c>
      <c r="AC35" s="1306">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17"/>
      <c r="Q36" s="1303" t="str">
        <f t="shared" si="11"/>
        <v>内部装修</v>
      </c>
      <c r="R36" s="631" t="s">
        <v>25</v>
      </c>
      <c r="S36" s="632">
        <f t="shared" si="12"/>
        <v>100</v>
      </c>
      <c r="T36" s="631" t="s">
        <v>25</v>
      </c>
      <c r="U36" s="632">
        <f t="shared" si="13"/>
        <v>100</v>
      </c>
      <c r="V36" s="631" t="s">
        <v>25</v>
      </c>
      <c r="W36" s="632">
        <f t="shared" si="14"/>
        <v>100</v>
      </c>
      <c r="X36" s="1304"/>
      <c r="Y36" s="3617"/>
      <c r="Z36" s="1305" t="str">
        <f t="shared" si="15"/>
        <v>内部装修</v>
      </c>
      <c r="AA36" s="1306">
        <f t="shared" si="3"/>
        <v>1</v>
      </c>
      <c r="AB36" s="1306">
        <f t="shared" si="4"/>
        <v>1</v>
      </c>
      <c r="AC36" s="1306">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17"/>
      <c r="Q37" s="1303" t="str">
        <f t="shared" si="11"/>
        <v>内部装修状况</v>
      </c>
      <c r="R37" s="631" t="s">
        <v>25</v>
      </c>
      <c r="S37" s="632">
        <f t="shared" si="12"/>
        <v>100</v>
      </c>
      <c r="T37" s="631" t="s">
        <v>25</v>
      </c>
      <c r="U37" s="632">
        <f t="shared" si="13"/>
        <v>100</v>
      </c>
      <c r="V37" s="631" t="s">
        <v>25</v>
      </c>
      <c r="W37" s="632">
        <f t="shared" si="14"/>
        <v>100</v>
      </c>
      <c r="X37" s="1304"/>
      <c r="Y37" s="3617"/>
      <c r="Z37" s="1305" t="str">
        <f t="shared" si="15"/>
        <v>内部装修状况</v>
      </c>
      <c r="AA37" s="1306">
        <f t="shared" si="3"/>
        <v>1</v>
      </c>
      <c r="AB37" s="1306">
        <f t="shared" si="4"/>
        <v>1</v>
      </c>
      <c r="AC37" s="1306">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17"/>
      <c r="Q38" s="633">
        <f t="shared" si="11"/>
        <v>111</v>
      </c>
      <c r="R38" s="634" t="s">
        <v>25</v>
      </c>
      <c r="S38" s="635">
        <f t="shared" si="12"/>
        <v>100</v>
      </c>
      <c r="T38" s="634" t="s">
        <v>25</v>
      </c>
      <c r="U38" s="635">
        <f t="shared" si="13"/>
        <v>100</v>
      </c>
      <c r="V38" s="634" t="s">
        <v>25</v>
      </c>
      <c r="W38" s="635">
        <f t="shared" si="14"/>
        <v>100</v>
      </c>
      <c r="X38" s="636"/>
      <c r="Y38" s="3617"/>
      <c r="Z38" s="637">
        <f t="shared" si="15"/>
        <v>111</v>
      </c>
      <c r="AA38" s="1306">
        <f t="shared" si="3"/>
        <v>1</v>
      </c>
      <c r="AB38" s="1306">
        <f t="shared" si="4"/>
        <v>1</v>
      </c>
      <c r="AC38" s="1306">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17"/>
      <c r="Q39" s="1303">
        <f t="shared" si="11"/>
        <v>111</v>
      </c>
      <c r="R39" s="631" t="s">
        <v>25</v>
      </c>
      <c r="S39" s="632">
        <f t="shared" si="12"/>
        <v>100</v>
      </c>
      <c r="T39" s="631" t="s">
        <v>25</v>
      </c>
      <c r="U39" s="632">
        <f t="shared" si="13"/>
        <v>100</v>
      </c>
      <c r="V39" s="631" t="s">
        <v>25</v>
      </c>
      <c r="W39" s="632">
        <f t="shared" si="14"/>
        <v>100</v>
      </c>
      <c r="X39" s="1304"/>
      <c r="Y39" s="3617"/>
      <c r="Z39" s="1305">
        <f t="shared" si="15"/>
        <v>111</v>
      </c>
      <c r="AA39" s="1306">
        <f t="shared" si="3"/>
        <v>1</v>
      </c>
      <c r="AB39" s="1306">
        <f t="shared" si="4"/>
        <v>1</v>
      </c>
      <c r="AC39" s="1306">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18"/>
      <c r="Q40" s="1303">
        <f t="shared" si="11"/>
        <v>111</v>
      </c>
      <c r="R40" s="631" t="s">
        <v>25</v>
      </c>
      <c r="S40" s="632">
        <f t="shared" si="12"/>
        <v>100</v>
      </c>
      <c r="T40" s="631" t="s">
        <v>25</v>
      </c>
      <c r="U40" s="632">
        <f t="shared" si="13"/>
        <v>100</v>
      </c>
      <c r="V40" s="631" t="s">
        <v>25</v>
      </c>
      <c r="W40" s="632">
        <f t="shared" si="14"/>
        <v>100</v>
      </c>
      <c r="X40" s="1304"/>
      <c r="Y40" s="3618"/>
      <c r="Z40" s="1305">
        <f t="shared" si="15"/>
        <v>111</v>
      </c>
      <c r="AA40" s="1306">
        <f t="shared" si="3"/>
        <v>1</v>
      </c>
      <c r="AB40" s="1306">
        <f t="shared" si="4"/>
        <v>1</v>
      </c>
      <c r="AC40" s="1306">
        <f t="shared" si="5"/>
        <v>1</v>
      </c>
    </row>
    <row r="41" spans="1:29" ht="15">
      <c r="A41" s="367" t="s">
        <v>2231</v>
      </c>
      <c r="B41" s="368"/>
      <c r="C41" s="1123" t="s">
        <v>1</v>
      </c>
      <c r="D41" s="1124"/>
      <c r="E41" s="1125">
        <v>31000</v>
      </c>
      <c r="F41" s="1126"/>
      <c r="G41" s="1127">
        <v>30000</v>
      </c>
      <c r="H41" s="1128"/>
      <c r="I41" s="1125">
        <v>30000</v>
      </c>
      <c r="J41" s="1128"/>
      <c r="K41" s="640"/>
      <c r="L41" s="3004"/>
      <c r="N41" s="2993"/>
      <c r="P41" s="3585" t="str">
        <f>A41</f>
        <v>成交单价（元/平方米）</v>
      </c>
      <c r="Q41" s="3585"/>
      <c r="R41" s="3619">
        <f>E41</f>
        <v>31000</v>
      </c>
      <c r="S41" s="3619"/>
      <c r="T41" s="3619">
        <f>G41</f>
        <v>30000</v>
      </c>
      <c r="U41" s="3619"/>
      <c r="V41" s="3619">
        <f>I41</f>
        <v>30000</v>
      </c>
      <c r="W41" s="3619"/>
      <c r="X41" s="618"/>
      <c r="Y41" s="638"/>
      <c r="Z41" s="618"/>
      <c r="AA41" s="618"/>
      <c r="AB41" s="618"/>
      <c r="AC41" s="618"/>
    </row>
    <row r="42" spans="1:29" ht="15.75" thickBot="1">
      <c r="A42" s="374" t="s">
        <v>2314</v>
      </c>
      <c r="B42" s="375"/>
      <c r="C42" s="1129">
        <f>R43</f>
        <v>30341</v>
      </c>
      <c r="D42" s="1766" t="s">
        <v>2688</v>
      </c>
      <c r="E42" s="1130">
        <f>R42</f>
        <v>31000</v>
      </c>
      <c r="F42" s="1768"/>
      <c r="G42" s="1129">
        <f>T42</f>
        <v>30612</v>
      </c>
      <c r="H42" s="1768"/>
      <c r="I42" s="1130">
        <f>V42</f>
        <v>29412</v>
      </c>
      <c r="J42" s="1768"/>
      <c r="K42" s="2480">
        <f>F42+H42+J42</f>
        <v>0</v>
      </c>
      <c r="L42" s="3004"/>
      <c r="N42" s="2993"/>
      <c r="P42" s="3585" t="str">
        <f>A42</f>
        <v>比较价值（元/平方米）</v>
      </c>
      <c r="Q42" s="3585"/>
      <c r="R42" s="3619">
        <f>IF(E1="售价",ROUND(PRODUCT(R41,AA7:AA40),0),ROUND(PRODUCT(R41,AA7:AA40),1))</f>
        <v>31000</v>
      </c>
      <c r="S42" s="3619"/>
      <c r="T42" s="3619">
        <f>IF(E1="售价",ROUND(PRODUCT(T41,AB7:AB40),0),ROUND(PRODUCT(T41,AB7:AB40),1))</f>
        <v>30612</v>
      </c>
      <c r="U42" s="3619"/>
      <c r="V42" s="3619">
        <f>IF(E1="售价",ROUND(PRODUCT(V41,AC7:AC40),0),ROUND(PRODUCT(V41,AC7:AC40),1))</f>
        <v>29412</v>
      </c>
      <c r="W42" s="3619"/>
      <c r="X42" s="618"/>
      <c r="Y42" s="618"/>
      <c r="Z42" s="618"/>
      <c r="AA42" s="618"/>
      <c r="AB42" s="618"/>
      <c r="AC42" s="618"/>
    </row>
    <row r="43" spans="1:29" ht="15.75" thickBot="1">
      <c r="A43" s="378" t="s">
        <v>2337</v>
      </c>
      <c r="B43" s="379"/>
      <c r="C43" s="1131">
        <f>R43</f>
        <v>30341</v>
      </c>
      <c r="D43" s="1131"/>
      <c r="E43" s="1131"/>
      <c r="F43" s="1131"/>
      <c r="G43" s="1131"/>
      <c r="H43" s="1131"/>
      <c r="I43" s="1131"/>
      <c r="J43" s="1131"/>
      <c r="K43" s="641"/>
      <c r="L43" s="3004"/>
      <c r="P43" s="3620" t="str">
        <f>A43</f>
        <v>估价对象XX用房的比较价值（楼面单价，元/平方米）</v>
      </c>
      <c r="Q43" s="3621"/>
      <c r="R43" s="3622">
        <f>IF(E1="售价",ROUND(IF(D42="简单平均",AVERAGE(R42:V42),R42*F42+T42*H42+V42*J42),0),ROUND(IF(D42="简单平均",AVERAGE(R42:V42),R42*F42+T42*H42+V42*J42),1))</f>
        <v>30341</v>
      </c>
      <c r="S43" s="3622"/>
      <c r="T43" s="3622"/>
      <c r="U43" s="3622"/>
      <c r="V43" s="3622"/>
      <c r="W43" s="3622"/>
      <c r="X43" s="618"/>
      <c r="Y43" s="618"/>
      <c r="Z43" s="618"/>
      <c r="AA43" s="618"/>
      <c r="AB43" s="618"/>
      <c r="AC43" s="618"/>
    </row>
    <row r="44" spans="1:29">
      <c r="G44" s="3007"/>
    </row>
    <row r="46" spans="1:29" ht="13.5" customHeight="1">
      <c r="C46" s="383" t="s">
        <v>2316</v>
      </c>
      <c r="D46" s="384"/>
      <c r="E46" s="385">
        <f>IF(E41&lt;E42,E42/E41-1,E41/E42-1)</f>
        <v>0</v>
      </c>
      <c r="F46" s="386" t="str">
        <f>IF(OR(E46&gt;=0.3,E46&lt;=-0.3),"超过30%","")</f>
        <v/>
      </c>
      <c r="G46" s="385">
        <f>IF(G41&lt;G42,G42/G41-1,G41/G42-1)</f>
        <v>2.0399999999999974E-2</v>
      </c>
      <c r="H46" s="386" t="str">
        <f>IF(OR(G46&gt;=0.3,G46&lt;=-0.3),"超过30%","")</f>
        <v/>
      </c>
      <c r="I46" s="385">
        <f>IF(I41&lt;I42,I42/I41-1,I41/I42-1)</f>
        <v>1.9991840065279431E-2</v>
      </c>
      <c r="J46" s="386" t="str">
        <f>IF(OR(I46&gt;=0.3,I46&lt;=-0.3),"超过30%","")</f>
        <v/>
      </c>
    </row>
    <row r="47" spans="1:29" ht="13.5" customHeight="1">
      <c r="C47" s="383" t="s">
        <v>2317</v>
      </c>
      <c r="D47" s="387"/>
      <c r="E47" s="385">
        <f>IF(E42&lt;G42,G42/E42-1,E42/G42-1)</f>
        <v>1.2674768064811159E-2</v>
      </c>
      <c r="F47" s="386" t="str">
        <f>IF(OR(E47&gt;=0.2,E47&lt;=-0.2),"超过20%","")</f>
        <v/>
      </c>
      <c r="G47" s="385">
        <f>IF(G42&lt;I42,I42/G42-1,G42/I42-1)</f>
        <v>4.0799673602611275E-2</v>
      </c>
      <c r="H47" s="386" t="str">
        <f>IF(OR(G47&gt;=0.2,G47&lt;=-0.2),"超过20%","")</f>
        <v/>
      </c>
      <c r="I47" s="385">
        <f>IF(I42&lt;E42,E42/I42-1,I42/E42-1)</f>
        <v>5.399156806745542E-2</v>
      </c>
      <c r="J47" s="386" t="str">
        <f>IF(OR(I47&gt;=0.2,I47&lt;=-0.2),"超过20%","")</f>
        <v/>
      </c>
    </row>
    <row r="48" spans="1:29" s="388" customFormat="1" ht="13.5" customHeight="1">
      <c r="C48" s="383" t="s">
        <v>2318</v>
      </c>
      <c r="D48" s="387"/>
      <c r="E48" s="385">
        <f>IF(E41&lt;G41,G41/E41-1,E41/G41-1)</f>
        <v>3.3333333333333437E-2</v>
      </c>
      <c r="F48" s="386" t="str">
        <f>IF(OR(E48&gt;=0.3,E48&lt;=-0.3),"超过30%","")</f>
        <v/>
      </c>
      <c r="G48" s="385">
        <f>IF(G41&lt;I41,I41/G41-1,G41/I41-1)</f>
        <v>0</v>
      </c>
      <c r="H48" s="386" t="str">
        <f>IF(OR(G48&gt;=0.3,G48&lt;=-0.3),"超过30%","")</f>
        <v/>
      </c>
      <c r="I48" s="385">
        <f>IF(I41&lt;E41,E41/I41-1,I41/E41-1)</f>
        <v>3.3333333333333437E-2</v>
      </c>
      <c r="J48" s="386" t="str">
        <f>IF(OR(I48&gt;=0.3,I48&lt;=-0.3),"超过30%","")</f>
        <v/>
      </c>
      <c r="K48" s="3008"/>
      <c r="L48" s="3005"/>
    </row>
    <row r="49" spans="1:17" s="388" customFormat="1">
      <c r="B49" s="3006"/>
      <c r="C49" s="3009"/>
      <c r="K49" s="3008"/>
      <c r="L49" s="3005"/>
    </row>
    <row r="50" spans="1:17">
      <c r="B50" s="3006"/>
      <c r="C50" s="3009"/>
    </row>
    <row r="51" spans="1:17" ht="21.75" thickBot="1">
      <c r="A51" s="620" t="s">
        <v>2319</v>
      </c>
      <c r="B51" s="618"/>
      <c r="C51" s="621"/>
      <c r="D51" s="621"/>
      <c r="E51" s="621"/>
      <c r="F51" s="622"/>
      <c r="G51" s="622"/>
      <c r="H51" s="621"/>
      <c r="I51" s="621"/>
      <c r="J51" s="621"/>
      <c r="K51" s="623"/>
      <c r="L51" s="624"/>
      <c r="M51" s="621"/>
      <c r="N51" s="3010"/>
      <c r="O51" s="3010"/>
      <c r="P51" s="389"/>
      <c r="Q51" s="390"/>
    </row>
    <row r="52" spans="1:17" s="394" customFormat="1" ht="15">
      <c r="A52" s="391" t="s">
        <v>2201</v>
      </c>
      <c r="B52" s="392"/>
      <c r="C52" s="1157" t="str">
        <f>YEAR(C7)&amp;"-"&amp;MONTH(C7)</f>
        <v>2021-12</v>
      </c>
      <c r="D52" s="1158">
        <f>EDATE(C52,-1)</f>
        <v>44501</v>
      </c>
      <c r="E52" s="1159">
        <f t="shared" ref="E52:O52" si="16">EDATE(D52,-1)</f>
        <v>44470</v>
      </c>
      <c r="F52" s="1159">
        <f t="shared" si="16"/>
        <v>44440</v>
      </c>
      <c r="G52" s="1159">
        <f t="shared" si="16"/>
        <v>44409</v>
      </c>
      <c r="H52" s="1159">
        <f t="shared" si="16"/>
        <v>44378</v>
      </c>
      <c r="I52" s="1159">
        <f t="shared" si="16"/>
        <v>44348</v>
      </c>
      <c r="J52" s="1159">
        <f t="shared" si="16"/>
        <v>44317</v>
      </c>
      <c r="K52" s="1159">
        <f t="shared" si="16"/>
        <v>44287</v>
      </c>
      <c r="L52" s="1159">
        <f t="shared" si="16"/>
        <v>44256</v>
      </c>
      <c r="M52" s="1159">
        <f t="shared" si="16"/>
        <v>44228</v>
      </c>
      <c r="N52" s="1159">
        <f t="shared" si="16"/>
        <v>44197</v>
      </c>
      <c r="O52" s="1159">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0（含）-1</v>
      </c>
      <c r="D61" s="434" t="str">
        <f t="shared" ref="D61:L61" si="17">D62&amp;"（含）"&amp;"-"&amp;E62</f>
        <v>1（含）-2</v>
      </c>
      <c r="E61" s="434" t="str">
        <f t="shared" si="17"/>
        <v>2（含）-3</v>
      </c>
      <c r="F61" s="434" t="str">
        <f t="shared" si="17"/>
        <v>3（含）-4</v>
      </c>
      <c r="G61" s="434" t="str">
        <f t="shared" si="17"/>
        <v>4（含）-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v>0</v>
      </c>
      <c r="D62" s="436">
        <v>1</v>
      </c>
      <c r="E62" s="436">
        <v>2</v>
      </c>
      <c r="F62" s="436">
        <v>3</v>
      </c>
      <c r="G62" s="436">
        <v>4</v>
      </c>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0(含)-100</v>
      </c>
      <c r="D90" s="466" t="str">
        <f t="shared" ref="D90:L90" si="20">D91&amp;"(含)"&amp;"-"&amp;E91</f>
        <v>100(含)-200</v>
      </c>
      <c r="E90" s="466" t="str">
        <f t="shared" si="20"/>
        <v>200(含)-300</v>
      </c>
      <c r="F90" s="466" t="str">
        <f t="shared" si="20"/>
        <v>300(含)-400</v>
      </c>
      <c r="G90" s="466" t="str">
        <f t="shared" si="20"/>
        <v>400(含)-500</v>
      </c>
      <c r="H90" s="466" t="str">
        <f t="shared" si="20"/>
        <v>500(含)-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v>0</v>
      </c>
      <c r="D91" s="483">
        <v>100</v>
      </c>
      <c r="E91" s="483">
        <v>200</v>
      </c>
      <c r="F91" s="483">
        <v>300</v>
      </c>
      <c r="G91" s="483">
        <v>400</v>
      </c>
      <c r="H91" s="483">
        <v>500</v>
      </c>
      <c r="I91" s="483"/>
      <c r="J91" s="484"/>
      <c r="K91" s="484"/>
      <c r="L91" s="485"/>
      <c r="M91" s="486"/>
      <c r="N91" s="445"/>
      <c r="O91" s="445"/>
      <c r="P91" s="446"/>
      <c r="Q91" s="447"/>
    </row>
    <row r="92" spans="1:17" s="359" customFormat="1" ht="15.75" thickBot="1">
      <c r="A92" s="440"/>
      <c r="B92" s="430"/>
      <c r="C92" s="448">
        <v>96</v>
      </c>
      <c r="D92" s="422">
        <v>98</v>
      </c>
      <c r="E92" s="422">
        <v>100</v>
      </c>
      <c r="F92" s="422">
        <v>98</v>
      </c>
      <c r="G92" s="422">
        <v>96</v>
      </c>
      <c r="H92" s="422">
        <v>94</v>
      </c>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61" priority="20" stopIfTrue="1" operator="containsText" text="超过">
      <formula>NOT(ISERROR(SEARCH("超过",F46)))</formula>
    </cfRule>
  </conditionalFormatting>
  <conditionalFormatting sqref="H48">
    <cfRule type="containsText" dxfId="160" priority="19" stopIfTrue="1" operator="containsText" text="超过">
      <formula>NOT(ISERROR(SEARCH("超过",H48)))</formula>
    </cfRule>
  </conditionalFormatting>
  <conditionalFormatting sqref="F48">
    <cfRule type="containsText" dxfId="159" priority="18" stopIfTrue="1" operator="containsText" text="超过">
      <formula>NOT(ISERROR(SEARCH("超过",F48)))</formula>
    </cfRule>
  </conditionalFormatting>
  <conditionalFormatting sqref="F47 H47">
    <cfRule type="containsText" dxfId="158" priority="17" stopIfTrue="1" operator="containsText" text="超过">
      <formula>NOT(ISERROR(SEARCH("超过",F47)))</formula>
    </cfRule>
  </conditionalFormatting>
  <conditionalFormatting sqref="E46">
    <cfRule type="expression" dxfId="157" priority="16" stopIfTrue="1">
      <formula>$F$46="超过30%"</formula>
    </cfRule>
  </conditionalFormatting>
  <conditionalFormatting sqref="E47">
    <cfRule type="expression" dxfId="156" priority="15" stopIfTrue="1">
      <formula>$F$47="超过20%"</formula>
    </cfRule>
  </conditionalFormatting>
  <conditionalFormatting sqref="E48">
    <cfRule type="expression" dxfId="155" priority="14" stopIfTrue="1">
      <formula>$F$48="超过30%"</formula>
    </cfRule>
  </conditionalFormatting>
  <conditionalFormatting sqref="G48">
    <cfRule type="expression" dxfId="154" priority="13" stopIfTrue="1">
      <formula>$H$48="超过30%"</formula>
    </cfRule>
  </conditionalFormatting>
  <conditionalFormatting sqref="G46">
    <cfRule type="expression" dxfId="153" priority="12" stopIfTrue="1">
      <formula>$H$46="超过30%"</formula>
    </cfRule>
  </conditionalFormatting>
  <conditionalFormatting sqref="G47">
    <cfRule type="expression" dxfId="152" priority="11" stopIfTrue="1">
      <formula>$H$47="超过20%"</formula>
    </cfRule>
  </conditionalFormatting>
  <conditionalFormatting sqref="J46">
    <cfRule type="containsText" dxfId="151" priority="10" stopIfTrue="1" operator="containsText" text="超过">
      <formula>NOT(ISERROR(SEARCH("超过",J46)))</formula>
    </cfRule>
  </conditionalFormatting>
  <conditionalFormatting sqref="J48">
    <cfRule type="containsText" dxfId="150" priority="9" stopIfTrue="1" operator="containsText" text="超过">
      <formula>NOT(ISERROR(SEARCH("超过",J48)))</formula>
    </cfRule>
  </conditionalFormatting>
  <conditionalFormatting sqref="J47">
    <cfRule type="containsText" dxfId="149" priority="8" stopIfTrue="1" operator="containsText" text="超过">
      <formula>NOT(ISERROR(SEARCH("超过",J47)))</formula>
    </cfRule>
  </conditionalFormatting>
  <conditionalFormatting sqref="I46">
    <cfRule type="expression" dxfId="148" priority="7" stopIfTrue="1">
      <formula>$J$46="超过30%"</formula>
    </cfRule>
  </conditionalFormatting>
  <conditionalFormatting sqref="I47">
    <cfRule type="expression" dxfId="147" priority="6" stopIfTrue="1">
      <formula>$J$47="超过20%"</formula>
    </cfRule>
  </conditionalFormatting>
  <conditionalFormatting sqref="I48">
    <cfRule type="expression" dxfId="146" priority="5" stopIfTrue="1">
      <formula>$J$48="超过30%"</formula>
    </cfRule>
  </conditionalFormatting>
  <conditionalFormatting sqref="F42">
    <cfRule type="expression" dxfId="145" priority="4">
      <formula>$D$42="简单平均"</formula>
    </cfRule>
  </conditionalFormatting>
  <conditionalFormatting sqref="H42">
    <cfRule type="expression" dxfId="144" priority="3">
      <formula>$D$42="简单平均"</formula>
    </cfRule>
  </conditionalFormatting>
  <conditionalFormatting sqref="J42">
    <cfRule type="expression" dxfId="143" priority="2">
      <formula>$D$42="简单平均"</formula>
    </cfRule>
  </conditionalFormatting>
  <conditionalFormatting sqref="F7:F40 H7:H40 J7:J40">
    <cfRule type="cellIs" dxfId="1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70" zoomScaleNormal="60" zoomScaleSheetLayoutView="70" workbookViewId="0">
      <selection activeCell="N41" sqref="N41"/>
    </sheetView>
  </sheetViews>
  <sheetFormatPr defaultColWidth="9" defaultRowHeight="14.25"/>
  <cols>
    <col min="1" max="1" width="10.5" style="1636" customWidth="1"/>
    <col min="2" max="2" width="15.75" style="1636" customWidth="1"/>
    <col min="3" max="3" width="17.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2326</v>
      </c>
      <c r="C1" s="1608" t="s">
        <v>3016</v>
      </c>
      <c r="D1" s="1607"/>
      <c r="E1" s="1610" t="s">
        <v>2689</v>
      </c>
      <c r="F1" s="1611" t="s">
        <v>2186</v>
      </c>
      <c r="G1" s="1607"/>
      <c r="H1" s="1607"/>
      <c r="I1" s="1607"/>
      <c r="J1" s="1607"/>
      <c r="K1" s="1612"/>
      <c r="L1" s="1613"/>
      <c r="M1" s="1607"/>
      <c r="N1" s="1607"/>
      <c r="O1" s="1607"/>
      <c r="P1" s="1607"/>
      <c r="Q1" s="1607"/>
      <c r="R1" s="1607"/>
      <c r="S1" s="1607"/>
      <c r="T1" s="1607"/>
      <c r="U1" s="1607"/>
      <c r="V1" s="1607"/>
      <c r="W1" s="1607"/>
      <c r="X1" s="1607"/>
      <c r="Y1" s="1607"/>
      <c r="Z1" s="1607"/>
      <c r="AA1" s="1607"/>
      <c r="AB1" s="2456"/>
      <c r="AC1" s="1616"/>
    </row>
    <row r="2" spans="1:29" s="1929" customFormat="1" ht="28.5" customHeight="1" thickTop="1">
      <c r="A2" s="1618" t="s">
        <v>1857</v>
      </c>
      <c r="B2" s="1619">
        <f>IF(D2="——",IF(C2="元",ROUND(C50*D3,0),ROUND(C50*D3/10000,0)),IF(C2="元",ROUND(C50*D3,0),ROUND(C50*D3/10000,0))-E2)</f>
        <v>393</v>
      </c>
      <c r="C2" s="1620" t="str">
        <f>'数据-取费表'!B3</f>
        <v>万元</v>
      </c>
      <c r="D2" s="1621" t="s">
        <v>1184</v>
      </c>
      <c r="E2" s="2457" t="e">
        <f ca="1">SUMIF(INDIRECT("'"&amp;G2&amp;"'"&amp;"!A:A"),"承租人权益价值",INDIRECT("'"&amp;G2&amp;"'"&amp;"!c:c"))</f>
        <v>#REF!</v>
      </c>
      <c r="F2" s="1623" t="str">
        <f>C2</f>
        <v>万元</v>
      </c>
      <c r="G2" s="1624"/>
      <c r="H2" s="2979"/>
      <c r="I2" s="2979"/>
      <c r="J2" s="2979"/>
      <c r="K2" s="2979"/>
      <c r="L2" s="2981"/>
      <c r="M2" s="2979"/>
      <c r="N2" s="2979"/>
      <c r="O2" s="2979"/>
      <c r="P2" s="1926"/>
      <c r="Q2" s="1926"/>
      <c r="R2" s="1926"/>
      <c r="S2" s="1926"/>
      <c r="T2" s="1926"/>
      <c r="U2" s="1926"/>
      <c r="V2" s="1926"/>
      <c r="W2" s="1926"/>
      <c r="X2" s="1926"/>
      <c r="Y2" s="1926"/>
      <c r="Z2" s="1926"/>
      <c r="AA2" s="1926"/>
      <c r="AB2" s="2458"/>
      <c r="AC2" s="1934"/>
    </row>
    <row r="3" spans="1:29" s="1929" customFormat="1" ht="28.5" customHeight="1" thickBot="1">
      <c r="A3" s="1628" t="s">
        <v>1858</v>
      </c>
      <c r="B3" s="1932">
        <f>ROUND(IF(D2="——",C50,IF(C2="万元",B2*10000/D3,B2/D3)),0)</f>
        <v>31287</v>
      </c>
      <c r="C3" s="1629" t="s">
        <v>2187</v>
      </c>
      <c r="D3" s="1629">
        <f>IF(C1="仅计算典型户型",'数据-取费表'!E5,'数据-取费表'!B5)</f>
        <v>125.51</v>
      </c>
      <c r="F3" s="2978"/>
      <c r="G3" s="2979"/>
      <c r="H3" s="2979"/>
      <c r="I3" s="2979"/>
      <c r="J3" s="2979"/>
      <c r="K3" s="2980"/>
      <c r="L3" s="2981"/>
      <c r="M3" s="2979"/>
      <c r="N3" s="2979"/>
      <c r="O3" s="2979"/>
      <c r="P3" s="2986"/>
      <c r="Q3" s="1921"/>
      <c r="R3" s="1921"/>
      <c r="S3" s="1921"/>
      <c r="T3" s="1921"/>
      <c r="U3" s="1921"/>
      <c r="V3" s="1921"/>
      <c r="W3" s="1921"/>
      <c r="X3" s="1926"/>
      <c r="Y3" s="1921"/>
      <c r="Z3" s="1921"/>
      <c r="AA3" s="1921"/>
      <c r="AB3" s="2459"/>
      <c r="AC3" s="1934"/>
    </row>
    <row r="4" spans="1:29" ht="15">
      <c r="A4" s="1632" t="s">
        <v>2188</v>
      </c>
      <c r="B4" s="1633"/>
      <c r="C4" s="3635" t="s">
        <v>2189</v>
      </c>
      <c r="D4" s="3636"/>
      <c r="E4" s="3637" t="s">
        <v>2190</v>
      </c>
      <c r="F4" s="3638"/>
      <c r="G4" s="3635" t="s">
        <v>2191</v>
      </c>
      <c r="H4" s="3636"/>
      <c r="I4" s="3635" t="s">
        <v>2192</v>
      </c>
      <c r="J4" s="3636"/>
      <c r="K4" s="1935" t="s">
        <v>2193</v>
      </c>
      <c r="L4" s="2964"/>
      <c r="M4" s="2965"/>
      <c r="N4" s="2965"/>
      <c r="O4" s="2965"/>
      <c r="P4" s="3639" t="s">
        <v>2194</v>
      </c>
      <c r="Q4" s="3640"/>
      <c r="R4" s="3645" t="s">
        <v>2190</v>
      </c>
      <c r="S4" s="3646"/>
      <c r="T4" s="3645" t="s">
        <v>2191</v>
      </c>
      <c r="U4" s="3646"/>
      <c r="V4" s="3651" t="s">
        <v>2192</v>
      </c>
      <c r="W4" s="3651"/>
      <c r="X4" s="2044"/>
      <c r="Y4" s="3645" t="s">
        <v>2194</v>
      </c>
      <c r="Z4" s="3646"/>
      <c r="AA4" s="3632" t="s">
        <v>2190</v>
      </c>
      <c r="AB4" s="3632" t="s">
        <v>2191</v>
      </c>
      <c r="AC4" s="3632" t="s">
        <v>2192</v>
      </c>
    </row>
    <row r="5" spans="1:29" ht="15">
      <c r="A5" s="1637"/>
      <c r="B5" s="1638"/>
      <c r="C5" s="3628" t="s">
        <v>2195</v>
      </c>
      <c r="D5" s="3629"/>
      <c r="E5" s="3652" t="s">
        <v>2196</v>
      </c>
      <c r="F5" s="3653"/>
      <c r="G5" s="3628" t="s">
        <v>2197</v>
      </c>
      <c r="H5" s="3629"/>
      <c r="I5" s="3628" t="s">
        <v>2198</v>
      </c>
      <c r="J5" s="3629"/>
      <c r="K5" s="1935"/>
      <c r="L5" s="2964"/>
      <c r="M5" s="2965"/>
      <c r="N5" s="2965"/>
      <c r="O5" s="2965"/>
      <c r="P5" s="3641"/>
      <c r="Q5" s="3642"/>
      <c r="R5" s="3647"/>
      <c r="S5" s="3648"/>
      <c r="T5" s="3647"/>
      <c r="U5" s="3648"/>
      <c r="V5" s="3651"/>
      <c r="W5" s="3651"/>
      <c r="X5" s="2044"/>
      <c r="Y5" s="3647"/>
      <c r="Z5" s="3648"/>
      <c r="AA5" s="3633"/>
      <c r="AB5" s="3633"/>
      <c r="AC5" s="3633"/>
    </row>
    <row r="6" spans="1:29" ht="15.75" thickBot="1">
      <c r="A6" s="1640"/>
      <c r="B6" s="1641"/>
      <c r="C6" s="3625" t="s">
        <v>2199</v>
      </c>
      <c r="D6" s="3626"/>
      <c r="E6" s="3623" t="s">
        <v>2199</v>
      </c>
      <c r="F6" s="3624"/>
      <c r="G6" s="3625" t="s">
        <v>2199</v>
      </c>
      <c r="H6" s="3626"/>
      <c r="I6" s="3625" t="s">
        <v>2199</v>
      </c>
      <c r="J6" s="3626"/>
      <c r="K6" s="1935" t="s">
        <v>2200</v>
      </c>
      <c r="L6" s="2964"/>
      <c r="M6" s="2965"/>
      <c r="N6" s="2965"/>
      <c r="O6" s="2965"/>
      <c r="P6" s="3643"/>
      <c r="Q6" s="3644"/>
      <c r="R6" s="3647"/>
      <c r="S6" s="3648"/>
      <c r="T6" s="3649"/>
      <c r="U6" s="3650"/>
      <c r="V6" s="3651"/>
      <c r="W6" s="3651"/>
      <c r="X6" s="2044"/>
      <c r="Y6" s="3649"/>
      <c r="Z6" s="3650"/>
      <c r="AA6" s="3634"/>
      <c r="AB6" s="3634"/>
      <c r="AC6" s="3634"/>
    </row>
    <row r="7" spans="1:29" s="1654" customFormat="1" ht="15.75" thickBot="1">
      <c r="A7" s="1642" t="s">
        <v>2201</v>
      </c>
      <c r="B7" s="1643"/>
      <c r="C7" s="1644">
        <f>'数据-取费表'!B2</f>
        <v>44561</v>
      </c>
      <c r="D7" s="1645">
        <v>100</v>
      </c>
      <c r="E7" s="1646">
        <v>44531</v>
      </c>
      <c r="F7" s="1647">
        <f>SUMIF(59:59,YEAR(E7)&amp;"-"&amp;MONTH(E7),60:60)</f>
        <v>100</v>
      </c>
      <c r="G7" s="1936">
        <v>44531</v>
      </c>
      <c r="H7" s="1645">
        <f>SUMIF(59:59,YEAR(G7)&amp;"-"&amp;MONTH(G7),60:60)</f>
        <v>100</v>
      </c>
      <c r="I7" s="1936">
        <v>44531</v>
      </c>
      <c r="J7" s="1645">
        <f>SUMIF(59:59,YEAR(I7)&amp;"-"&amp;MONTH(I7),60:60)</f>
        <v>100</v>
      </c>
      <c r="K7" s="1937"/>
      <c r="L7" s="2964"/>
      <c r="M7" s="2937"/>
      <c r="N7" s="2937"/>
      <c r="O7" s="2937"/>
      <c r="P7" s="3630" t="s">
        <v>2202</v>
      </c>
      <c r="Q7" s="3654"/>
      <c r="R7" s="1650" t="s">
        <v>25</v>
      </c>
      <c r="S7" s="1651">
        <f t="shared" ref="S7:S15" si="0">F7</f>
        <v>100</v>
      </c>
      <c r="T7" s="1650" t="s">
        <v>25</v>
      </c>
      <c r="U7" s="1651">
        <f t="shared" ref="U7:U15" si="1">H7</f>
        <v>100</v>
      </c>
      <c r="V7" s="1650" t="s">
        <v>25</v>
      </c>
      <c r="W7" s="1651">
        <f t="shared" ref="W7:W15" si="2">J7</f>
        <v>100</v>
      </c>
      <c r="X7" s="1652"/>
      <c r="Y7" s="3630" t="s">
        <v>2202</v>
      </c>
      <c r="Z7" s="3631"/>
      <c r="AA7" s="1653">
        <f>D7/F7</f>
        <v>1</v>
      </c>
      <c r="AB7" s="1653">
        <f>D7/H7</f>
        <v>1</v>
      </c>
      <c r="AC7" s="1653">
        <f>D7/J7</f>
        <v>1</v>
      </c>
    </row>
    <row r="8" spans="1:29" s="1654" customFormat="1" ht="15.75" thickBot="1">
      <c r="A8" s="1642" t="s">
        <v>2203</v>
      </c>
      <c r="B8" s="1643"/>
      <c r="C8" s="1655" t="s">
        <v>2204</v>
      </c>
      <c r="D8" s="1645">
        <v>100</v>
      </c>
      <c r="E8" s="3314" t="s">
        <v>3007</v>
      </c>
      <c r="F8" s="1647">
        <f>SUMIF(62:62,E8,63:63)-SUMIF(62:62,C8,63:63)+100</f>
        <v>100</v>
      </c>
      <c r="G8" s="3314" t="s">
        <v>3007</v>
      </c>
      <c r="H8" s="1645">
        <f>SUMIF(62:62,G8,63:63)-SUMIF(62:62,C8,63:63)+100</f>
        <v>100</v>
      </c>
      <c r="I8" s="3314" t="s">
        <v>3007</v>
      </c>
      <c r="J8" s="1645">
        <f>SUMIF(62:62,I8,63:63)-SUMIF(62:62,C8,63:63)+100</f>
        <v>100</v>
      </c>
      <c r="K8" s="1937"/>
      <c r="L8" s="2964"/>
      <c r="M8" s="2937"/>
      <c r="N8" s="2937"/>
      <c r="O8" s="2937"/>
      <c r="P8" s="3630" t="s">
        <v>2205</v>
      </c>
      <c r="Q8" s="3631"/>
      <c r="R8" s="1650" t="s">
        <v>25</v>
      </c>
      <c r="S8" s="1651">
        <f t="shared" si="0"/>
        <v>100</v>
      </c>
      <c r="T8" s="1650" t="s">
        <v>25</v>
      </c>
      <c r="U8" s="1651">
        <f t="shared" si="1"/>
        <v>100</v>
      </c>
      <c r="V8" s="1650" t="s">
        <v>25</v>
      </c>
      <c r="W8" s="1651">
        <f t="shared" si="2"/>
        <v>100</v>
      </c>
      <c r="X8" s="1652"/>
      <c r="Y8" s="3630" t="s">
        <v>2205</v>
      </c>
      <c r="Z8" s="3631"/>
      <c r="AA8" s="1653">
        <f t="shared" ref="AA8:AA47" si="3">D8/F8</f>
        <v>1</v>
      </c>
      <c r="AB8" s="1653">
        <f t="shared" ref="AB8:AB47" si="4">D8/H8</f>
        <v>1</v>
      </c>
      <c r="AC8" s="1653">
        <f t="shared" ref="AC8:AC47" si="5">D8/J8</f>
        <v>1</v>
      </c>
    </row>
    <row r="9" spans="1:29" s="1654" customFormat="1">
      <c r="A9" s="2036" t="s">
        <v>2206</v>
      </c>
      <c r="B9" s="1657" t="s">
        <v>2207</v>
      </c>
      <c r="C9" s="1658"/>
      <c r="D9" s="1659">
        <v>100</v>
      </c>
      <c r="E9" s="1662"/>
      <c r="F9" s="1659">
        <f>SUMIF(64:64,E9,65:65)-SUMIF(64:64,C9,65:65)+100</f>
        <v>100</v>
      </c>
      <c r="G9" s="1660"/>
      <c r="H9" s="1659">
        <f>SUMIF(64:64,G9,65:65)-SUMIF(64:64,C9,65:65)+100</f>
        <v>100</v>
      </c>
      <c r="I9" s="1660"/>
      <c r="J9" s="1659">
        <f>SUMIF(64:64,I9,65:65)-SUMIF(64:64,C9,65:65)+100</f>
        <v>100</v>
      </c>
      <c r="K9" s="1937"/>
      <c r="L9" s="2964"/>
      <c r="M9" s="2937"/>
      <c r="N9" s="2937"/>
      <c r="O9" s="2937"/>
      <c r="P9" s="3627" t="s">
        <v>2208</v>
      </c>
      <c r="Q9" s="2882" t="str">
        <f t="shared" ref="Q9:Q15" si="6">B9</f>
        <v>用途</v>
      </c>
      <c r="R9" s="1650" t="s">
        <v>25</v>
      </c>
      <c r="S9" s="1651">
        <f t="shared" si="0"/>
        <v>100</v>
      </c>
      <c r="T9" s="1650" t="s">
        <v>25</v>
      </c>
      <c r="U9" s="1651">
        <f t="shared" si="1"/>
        <v>100</v>
      </c>
      <c r="V9" s="1650" t="s">
        <v>25</v>
      </c>
      <c r="W9" s="1651">
        <f t="shared" si="2"/>
        <v>100</v>
      </c>
      <c r="X9" s="1652"/>
      <c r="Y9" s="3486" t="s">
        <v>2209</v>
      </c>
      <c r="Z9" s="1663" t="str">
        <f t="shared" ref="Z9:Z15" si="7">Q9</f>
        <v>用途</v>
      </c>
      <c r="AA9" s="1653">
        <f t="shared" si="3"/>
        <v>1</v>
      </c>
      <c r="AB9" s="1653">
        <f t="shared" si="4"/>
        <v>1</v>
      </c>
      <c r="AC9" s="1653">
        <f t="shared" si="5"/>
        <v>1</v>
      </c>
    </row>
    <row r="10" spans="1:29" s="1671" customFormat="1" ht="27">
      <c r="A10" s="1664"/>
      <c r="B10" s="1665" t="s">
        <v>2210</v>
      </c>
      <c r="C10" s="1666"/>
      <c r="D10" s="1667">
        <v>100</v>
      </c>
      <c r="E10" s="1666"/>
      <c r="F10" s="1667">
        <f>SUMIF(66:66,E10,67:67)-SUMIF(66:66,C10,67:67)+100</f>
        <v>100</v>
      </c>
      <c r="G10" s="1668"/>
      <c r="H10" s="1667">
        <f>SUMIF(66:66,G10,67:67)-SUMIF(66:66,C10,67:67)+100</f>
        <v>100</v>
      </c>
      <c r="I10" s="1666"/>
      <c r="J10" s="1667">
        <f>SUMIF(66:66,I10,67:67)-SUMIF(66:66,C10,67:67)+100</f>
        <v>100</v>
      </c>
      <c r="K10" s="1962"/>
      <c r="L10" s="2966"/>
      <c r="M10" s="2967"/>
      <c r="N10" s="2967"/>
      <c r="O10" s="2967"/>
      <c r="P10" s="3627"/>
      <c r="Q10" s="2882" t="str">
        <f t="shared" si="6"/>
        <v>土地使用年限（年）</v>
      </c>
      <c r="R10" s="1650" t="s">
        <v>25</v>
      </c>
      <c r="S10" s="1651">
        <f t="shared" si="0"/>
        <v>100</v>
      </c>
      <c r="T10" s="1650" t="s">
        <v>25</v>
      </c>
      <c r="U10" s="1651">
        <f t="shared" si="1"/>
        <v>100</v>
      </c>
      <c r="V10" s="1650" t="s">
        <v>25</v>
      </c>
      <c r="W10" s="1651">
        <f t="shared" si="2"/>
        <v>100</v>
      </c>
      <c r="X10" s="1652"/>
      <c r="Y10" s="3486"/>
      <c r="Z10" s="1663" t="str">
        <f t="shared" si="7"/>
        <v>土地使用年限（年）</v>
      </c>
      <c r="AA10" s="1653">
        <f t="shared" si="3"/>
        <v>1</v>
      </c>
      <c r="AB10" s="1653">
        <f t="shared" si="4"/>
        <v>1</v>
      </c>
      <c r="AC10" s="1653">
        <f t="shared" si="5"/>
        <v>1</v>
      </c>
    </row>
    <row r="11" spans="1:29" ht="15">
      <c r="A11" s="1672"/>
      <c r="B11" s="1665" t="s">
        <v>2211</v>
      </c>
      <c r="C11" s="1673"/>
      <c r="D11" s="1667">
        <v>100</v>
      </c>
      <c r="E11" s="1673"/>
      <c r="F11" s="1667">
        <f>LOOKUP(E11,69:69,70:70)-LOOKUP(C11,69:69,70:70)+100</f>
        <v>100</v>
      </c>
      <c r="G11" s="1674"/>
      <c r="H11" s="1667">
        <f>LOOKUP(G11,69:69,70:70)-LOOKUP(C11,69:69,70:70)+100</f>
        <v>100</v>
      </c>
      <c r="I11" s="1673"/>
      <c r="J11" s="1667">
        <f>LOOKUP(I11,69:69,70:70)-LOOKUP(C11,69:69,70:70)+100</f>
        <v>100</v>
      </c>
      <c r="K11" s="1962"/>
      <c r="L11" s="2968"/>
      <c r="M11" s="2965"/>
      <c r="N11" s="2965"/>
      <c r="O11" s="2965"/>
      <c r="P11" s="3627"/>
      <c r="Q11" s="2882" t="str">
        <f t="shared" si="6"/>
        <v>容积率</v>
      </c>
      <c r="R11" s="1650" t="s">
        <v>25</v>
      </c>
      <c r="S11" s="1651">
        <f t="shared" si="0"/>
        <v>100</v>
      </c>
      <c r="T11" s="1650" t="s">
        <v>25</v>
      </c>
      <c r="U11" s="1651">
        <f t="shared" si="1"/>
        <v>100</v>
      </c>
      <c r="V11" s="1650" t="s">
        <v>25</v>
      </c>
      <c r="W11" s="1651">
        <f t="shared" si="2"/>
        <v>100</v>
      </c>
      <c r="X11" s="1652"/>
      <c r="Y11" s="3486"/>
      <c r="Z11" s="1663" t="str">
        <f t="shared" si="7"/>
        <v>容积率</v>
      </c>
      <c r="AA11" s="1653">
        <f t="shared" si="3"/>
        <v>1</v>
      </c>
      <c r="AB11" s="1653">
        <f t="shared" si="4"/>
        <v>1</v>
      </c>
      <c r="AC11" s="1653">
        <f t="shared" si="5"/>
        <v>1</v>
      </c>
    </row>
    <row r="12" spans="1:29" s="1654" customFormat="1" ht="15">
      <c r="A12" s="1675"/>
      <c r="B12" s="1676">
        <v>111</v>
      </c>
      <c r="C12" s="1677"/>
      <c r="D12" s="1678">
        <v>100</v>
      </c>
      <c r="E12" s="1677"/>
      <c r="F12" s="1667">
        <f>SUMIF(71:71,E12,72:72)-SUMIF(71:71,C12,72:72)+100</f>
        <v>100</v>
      </c>
      <c r="G12" s="2460"/>
      <c r="H12" s="1667">
        <f>SUMIF(71:71,G12,72:72)-SUMIF(71:71,C12,72:72)+100</f>
        <v>100</v>
      </c>
      <c r="I12" s="1677"/>
      <c r="J12" s="1667">
        <f>SUMIF(71:71,I12,72:72)-SUMIF(71:71,C12,72:72)+100</f>
        <v>100</v>
      </c>
      <c r="K12" s="1959"/>
      <c r="L12" s="2964"/>
      <c r="M12" s="2937"/>
      <c r="N12" s="2937"/>
      <c r="O12" s="2937"/>
      <c r="P12" s="3627"/>
      <c r="Q12" s="2882">
        <f t="shared" si="6"/>
        <v>111</v>
      </c>
      <c r="R12" s="1650" t="s">
        <v>25</v>
      </c>
      <c r="S12" s="1651">
        <f t="shared" si="0"/>
        <v>100</v>
      </c>
      <c r="T12" s="1650" t="s">
        <v>25</v>
      </c>
      <c r="U12" s="1651">
        <f t="shared" si="1"/>
        <v>100</v>
      </c>
      <c r="V12" s="1650" t="s">
        <v>25</v>
      </c>
      <c r="W12" s="1651">
        <f t="shared" si="2"/>
        <v>100</v>
      </c>
      <c r="X12" s="1652"/>
      <c r="Y12" s="3486"/>
      <c r="Z12" s="1663">
        <f t="shared" si="7"/>
        <v>111</v>
      </c>
      <c r="AA12" s="1653">
        <f>D12/F12</f>
        <v>1</v>
      </c>
      <c r="AB12" s="1653">
        <f>D12/H12</f>
        <v>1</v>
      </c>
      <c r="AC12" s="1653">
        <f>D12/J12</f>
        <v>1</v>
      </c>
    </row>
    <row r="13" spans="1:29" ht="15">
      <c r="A13" s="1672"/>
      <c r="B13" s="1676">
        <v>111</v>
      </c>
      <c r="C13" s="1680"/>
      <c r="D13" s="1681">
        <v>100</v>
      </c>
      <c r="E13" s="1677"/>
      <c r="F13" s="1667">
        <f>SUMIF(73:73,E13,74:74)-SUMIF(73:73,C13,74:74)+100</f>
        <v>100</v>
      </c>
      <c r="G13" s="2460"/>
      <c r="H13" s="1681">
        <f>SUMIF(73:73,G13,74:74)-SUMIF(73:73,C13,74:74)+100</f>
        <v>100</v>
      </c>
      <c r="I13" s="1677"/>
      <c r="J13" s="1681">
        <f>SUMIF(73:73,I13,74:74)-SUMIF(73:73,C13,74:74)+100</f>
        <v>100</v>
      </c>
      <c r="K13" s="1959"/>
      <c r="L13" s="2969"/>
      <c r="M13" s="2965"/>
      <c r="N13" s="2965"/>
      <c r="O13" s="2965"/>
      <c r="P13" s="3627"/>
      <c r="Q13" s="2882">
        <f t="shared" si="6"/>
        <v>111</v>
      </c>
      <c r="R13" s="1650" t="s">
        <v>25</v>
      </c>
      <c r="S13" s="1651">
        <f t="shared" si="0"/>
        <v>100</v>
      </c>
      <c r="T13" s="1650" t="s">
        <v>25</v>
      </c>
      <c r="U13" s="1651">
        <f t="shared" si="1"/>
        <v>100</v>
      </c>
      <c r="V13" s="1650" t="s">
        <v>25</v>
      </c>
      <c r="W13" s="1651">
        <f t="shared" si="2"/>
        <v>100</v>
      </c>
      <c r="X13" s="1652"/>
      <c r="Y13" s="3486"/>
      <c r="Z13" s="1663">
        <f t="shared" si="7"/>
        <v>111</v>
      </c>
      <c r="AA13" s="1653">
        <f t="shared" si="3"/>
        <v>1</v>
      </c>
      <c r="AB13" s="1653">
        <f t="shared" si="4"/>
        <v>1</v>
      </c>
      <c r="AC13" s="1653">
        <f t="shared" si="5"/>
        <v>1</v>
      </c>
    </row>
    <row r="14" spans="1:29" ht="15.75" thickBot="1">
      <c r="A14" s="1682"/>
      <c r="B14" s="1683">
        <v>111</v>
      </c>
      <c r="C14" s="1684"/>
      <c r="D14" s="1685">
        <v>100</v>
      </c>
      <c r="E14" s="2461"/>
      <c r="F14" s="1685">
        <f>SUMIF(75:75,E14,76:76)-SUMIF(75:75,C14,76:76)+100</f>
        <v>100</v>
      </c>
      <c r="G14" s="2460"/>
      <c r="H14" s="1685">
        <f>SUMIF(75:75,G14,76:76)-SUMIF(75:75,C14,76:76)+100</f>
        <v>100</v>
      </c>
      <c r="I14" s="1677"/>
      <c r="J14" s="1685">
        <f>SUMIF(75:75,I14,76:76)-SUMIF(75:75,C14,76:76)+100</f>
        <v>100</v>
      </c>
      <c r="K14" s="1959"/>
      <c r="L14" s="2969"/>
      <c r="M14" s="2965"/>
      <c r="N14" s="2965"/>
      <c r="O14" s="2965"/>
      <c r="P14" s="3627"/>
      <c r="Q14" s="2882">
        <f t="shared" si="6"/>
        <v>111</v>
      </c>
      <c r="R14" s="1650" t="s">
        <v>25</v>
      </c>
      <c r="S14" s="1651">
        <f t="shared" si="0"/>
        <v>100</v>
      </c>
      <c r="T14" s="1650" t="s">
        <v>25</v>
      </c>
      <c r="U14" s="1651">
        <f t="shared" si="1"/>
        <v>100</v>
      </c>
      <c r="V14" s="1650" t="s">
        <v>25</v>
      </c>
      <c r="W14" s="1651">
        <f t="shared" si="2"/>
        <v>100</v>
      </c>
      <c r="X14" s="1652"/>
      <c r="Y14" s="3486"/>
      <c r="Z14" s="1663">
        <f t="shared" si="7"/>
        <v>111</v>
      </c>
      <c r="AA14" s="1653">
        <f t="shared" si="3"/>
        <v>1</v>
      </c>
      <c r="AB14" s="1653">
        <f t="shared" si="4"/>
        <v>1</v>
      </c>
      <c r="AC14" s="1653">
        <f t="shared" si="5"/>
        <v>1</v>
      </c>
    </row>
    <row r="15" spans="1:29" ht="71.25">
      <c r="A15" s="1687" t="s">
        <v>2212</v>
      </c>
      <c r="B15" s="2462" t="s">
        <v>2327</v>
      </c>
      <c r="C15" s="1943"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42"/>
      <c r="L15" s="2969"/>
      <c r="M15" s="2965"/>
      <c r="N15" s="2965"/>
      <c r="O15" s="2965"/>
      <c r="P15" s="3655" t="s">
        <v>2213</v>
      </c>
      <c r="Q15" s="2883" t="str">
        <f t="shared" si="6"/>
        <v>办公集聚程度</v>
      </c>
      <c r="R15" s="1695" t="s">
        <v>25</v>
      </c>
      <c r="S15" s="1696">
        <f t="shared" si="0"/>
        <v>100</v>
      </c>
      <c r="T15" s="1695" t="s">
        <v>25</v>
      </c>
      <c r="U15" s="1696">
        <f t="shared" si="1"/>
        <v>100</v>
      </c>
      <c r="V15" s="1695" t="s">
        <v>25</v>
      </c>
      <c r="W15" s="1696">
        <f t="shared" si="2"/>
        <v>100</v>
      </c>
      <c r="X15" s="2044"/>
      <c r="Y15" s="3655" t="s">
        <v>2213</v>
      </c>
      <c r="Z15" s="2048" t="str">
        <f t="shared" si="7"/>
        <v>办公集聚程度</v>
      </c>
      <c r="AA15" s="2039">
        <f t="shared" si="3"/>
        <v>1</v>
      </c>
      <c r="AB15" s="2039">
        <f t="shared" si="4"/>
        <v>1</v>
      </c>
      <c r="AC15" s="2039">
        <f t="shared" si="5"/>
        <v>1</v>
      </c>
    </row>
    <row r="16" spans="1:29" ht="15">
      <c r="A16" s="1672"/>
      <c r="B16" s="2463"/>
      <c r="C16" s="1945"/>
      <c r="D16" s="1701"/>
      <c r="E16" s="1700"/>
      <c r="F16" s="1701"/>
      <c r="G16" s="1945"/>
      <c r="H16" s="1705"/>
      <c r="I16" s="1700"/>
      <c r="J16" s="1701"/>
      <c r="K16" s="2443"/>
      <c r="L16" s="2969"/>
      <c r="M16" s="2965"/>
      <c r="N16" s="2965"/>
      <c r="O16" s="2965"/>
      <c r="P16" s="3656"/>
      <c r="Q16" s="2883"/>
      <c r="R16" s="1695"/>
      <c r="S16" s="1696"/>
      <c r="T16" s="1695"/>
      <c r="U16" s="1696"/>
      <c r="V16" s="1695"/>
      <c r="W16" s="1696"/>
      <c r="X16" s="2044"/>
      <c r="Y16" s="3656"/>
      <c r="Z16" s="2048"/>
      <c r="AA16" s="2039">
        <v>1</v>
      </c>
      <c r="AB16" s="2039">
        <v>1</v>
      </c>
      <c r="AC16" s="2039">
        <v>1</v>
      </c>
    </row>
    <row r="17" spans="1:29" ht="71.25">
      <c r="A17" s="1672"/>
      <c r="B17" s="2464" t="s">
        <v>1649</v>
      </c>
      <c r="C17" s="1950"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100</v>
      </c>
      <c r="K17" s="2442"/>
      <c r="L17" s="2969"/>
      <c r="M17" s="2965"/>
      <c r="N17" s="2965"/>
      <c r="O17" s="2965"/>
      <c r="P17" s="3656"/>
      <c r="Q17" s="2883" t="str">
        <f>B17</f>
        <v>交通便捷度</v>
      </c>
      <c r="R17" s="1695" t="s">
        <v>25</v>
      </c>
      <c r="S17" s="1696">
        <f>F17</f>
        <v>100</v>
      </c>
      <c r="T17" s="1695" t="s">
        <v>25</v>
      </c>
      <c r="U17" s="1696">
        <f>H17</f>
        <v>100</v>
      </c>
      <c r="V17" s="1695" t="s">
        <v>25</v>
      </c>
      <c r="W17" s="1696">
        <f>J17</f>
        <v>100</v>
      </c>
      <c r="X17" s="2044"/>
      <c r="Y17" s="3656"/>
      <c r="Z17" s="2048" t="str">
        <f>Q17</f>
        <v>交通便捷度</v>
      </c>
      <c r="AA17" s="2039">
        <f t="shared" si="3"/>
        <v>1</v>
      </c>
      <c r="AB17" s="2039">
        <f t="shared" si="4"/>
        <v>1</v>
      </c>
      <c r="AC17" s="2039">
        <f t="shared" si="5"/>
        <v>1</v>
      </c>
    </row>
    <row r="18" spans="1:29" ht="15">
      <c r="A18" s="1672"/>
      <c r="B18" s="2465"/>
      <c r="C18" s="1949"/>
      <c r="D18" s="1705"/>
      <c r="E18" s="1716"/>
      <c r="F18" s="1705"/>
      <c r="G18" s="1715"/>
      <c r="H18" s="1701"/>
      <c r="I18" s="1715"/>
      <c r="J18" s="1701"/>
      <c r="K18" s="2443"/>
      <c r="L18" s="2969"/>
      <c r="M18" s="2965"/>
      <c r="N18" s="2965"/>
      <c r="O18" s="2965"/>
      <c r="P18" s="3656"/>
      <c r="Q18" s="2883"/>
      <c r="R18" s="1695"/>
      <c r="S18" s="1696"/>
      <c r="T18" s="1695"/>
      <c r="U18" s="1696"/>
      <c r="V18" s="1695"/>
      <c r="W18" s="1696"/>
      <c r="X18" s="2044"/>
      <c r="Y18" s="3656"/>
      <c r="Z18" s="2048"/>
      <c r="AA18" s="2039">
        <v>1</v>
      </c>
      <c r="AB18" s="2039">
        <v>1</v>
      </c>
      <c r="AC18" s="2039">
        <v>1</v>
      </c>
    </row>
    <row r="19" spans="1:29" ht="42.75">
      <c r="A19" s="1672"/>
      <c r="B19" s="2464" t="s">
        <v>2328</v>
      </c>
      <c r="C19" s="1950"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2"/>
      <c r="L19" s="2969"/>
      <c r="M19" s="2965"/>
      <c r="N19" s="2965"/>
      <c r="O19" s="2965"/>
      <c r="P19" s="3656"/>
      <c r="Q19" s="2883" t="str">
        <f>B19</f>
        <v>公共配套设施</v>
      </c>
      <c r="R19" s="1695" t="s">
        <v>25</v>
      </c>
      <c r="S19" s="1696">
        <f>F19</f>
        <v>100</v>
      </c>
      <c r="T19" s="1695" t="s">
        <v>25</v>
      </c>
      <c r="U19" s="1696">
        <f>H19</f>
        <v>100</v>
      </c>
      <c r="V19" s="1695" t="s">
        <v>25</v>
      </c>
      <c r="W19" s="1696">
        <f>J19</f>
        <v>100</v>
      </c>
      <c r="X19" s="2044"/>
      <c r="Y19" s="3656"/>
      <c r="Z19" s="2048" t="str">
        <f>Q19</f>
        <v>公共配套设施</v>
      </c>
      <c r="AA19" s="2039">
        <f t="shared" si="3"/>
        <v>1</v>
      </c>
      <c r="AB19" s="2039">
        <f t="shared" si="4"/>
        <v>1</v>
      </c>
      <c r="AC19" s="2039">
        <f t="shared" si="5"/>
        <v>1</v>
      </c>
    </row>
    <row r="20" spans="1:29" ht="15">
      <c r="A20" s="1672"/>
      <c r="B20" s="2465"/>
      <c r="C20" s="1945"/>
      <c r="D20" s="1701"/>
      <c r="E20" s="1704"/>
      <c r="F20" s="1701"/>
      <c r="G20" s="1702"/>
      <c r="H20" s="1701"/>
      <c r="I20" s="1702"/>
      <c r="J20" s="1701"/>
      <c r="K20" s="2443"/>
      <c r="L20" s="2969"/>
      <c r="M20" s="2965"/>
      <c r="N20" s="2965"/>
      <c r="O20" s="2965"/>
      <c r="P20" s="3656"/>
      <c r="Q20" s="2883"/>
      <c r="R20" s="1695"/>
      <c r="S20" s="1696"/>
      <c r="T20" s="1695"/>
      <c r="U20" s="1696"/>
      <c r="V20" s="1695"/>
      <c r="W20" s="1696"/>
      <c r="X20" s="2044"/>
      <c r="Y20" s="3656"/>
      <c r="Z20" s="2048"/>
      <c r="AA20" s="2039">
        <v>1</v>
      </c>
      <c r="AB20" s="2039">
        <v>1</v>
      </c>
      <c r="AC20" s="2039">
        <v>1</v>
      </c>
    </row>
    <row r="21" spans="1:29" ht="28.5">
      <c r="A21" s="1672"/>
      <c r="B21" s="2466" t="s">
        <v>2329</v>
      </c>
      <c r="C21" s="1950"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2"/>
      <c r="L21" s="2969"/>
      <c r="M21" s="2965"/>
      <c r="N21" s="2965"/>
      <c r="O21" s="2965"/>
      <c r="P21" s="3656"/>
      <c r="Q21" s="2883" t="str">
        <f>B21</f>
        <v>基础设施水平</v>
      </c>
      <c r="R21" s="1695" t="s">
        <v>25</v>
      </c>
      <c r="S21" s="1696">
        <f>F21</f>
        <v>100</v>
      </c>
      <c r="T21" s="1695" t="s">
        <v>25</v>
      </c>
      <c r="U21" s="1696">
        <f>H21</f>
        <v>100</v>
      </c>
      <c r="V21" s="1695" t="s">
        <v>25</v>
      </c>
      <c r="W21" s="1696">
        <f>J21</f>
        <v>100</v>
      </c>
      <c r="X21" s="2044"/>
      <c r="Y21" s="3656"/>
      <c r="Z21" s="2048" t="str">
        <f>Q21</f>
        <v>基础设施水平</v>
      </c>
      <c r="AA21" s="2039">
        <f t="shared" ref="AA21" si="8">D21/F21</f>
        <v>1</v>
      </c>
      <c r="AB21" s="2039">
        <f t="shared" ref="AB21" si="9">D21/H21</f>
        <v>1</v>
      </c>
      <c r="AC21" s="2039">
        <f t="shared" ref="AC21" si="10">D21/J21</f>
        <v>1</v>
      </c>
    </row>
    <row r="22" spans="1:29" ht="15">
      <c r="A22" s="1672"/>
      <c r="B22" s="2466"/>
      <c r="C22" s="1949"/>
      <c r="D22" s="1701"/>
      <c r="E22" s="1700"/>
      <c r="F22" s="1701"/>
      <c r="G22" s="1945"/>
      <c r="H22" s="1701"/>
      <c r="I22" s="1945"/>
      <c r="J22" s="1701"/>
      <c r="K22" s="2444"/>
      <c r="L22" s="2969"/>
      <c r="M22" s="2965"/>
      <c r="N22" s="2965"/>
      <c r="O22" s="2965"/>
      <c r="P22" s="3656"/>
      <c r="Q22" s="2883"/>
      <c r="R22" s="1695"/>
      <c r="S22" s="1696"/>
      <c r="T22" s="1695"/>
      <c r="U22" s="1696"/>
      <c r="V22" s="1695"/>
      <c r="W22" s="1696"/>
      <c r="X22" s="2044"/>
      <c r="Y22" s="3656"/>
      <c r="Z22" s="2048"/>
      <c r="AA22" s="2039">
        <v>1</v>
      </c>
      <c r="AB22" s="2039">
        <v>1</v>
      </c>
      <c r="AC22" s="2039">
        <v>1</v>
      </c>
    </row>
    <row r="23" spans="1:29" ht="42.75">
      <c r="A23" s="1672"/>
      <c r="B23" s="2464" t="s">
        <v>2330</v>
      </c>
      <c r="C23" s="1950"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2"/>
      <c r="L23" s="2969"/>
      <c r="M23" s="2965"/>
      <c r="N23" s="2965"/>
      <c r="O23" s="2965"/>
      <c r="P23" s="3656"/>
      <c r="Q23" s="2883" t="str">
        <f>B23</f>
        <v>环境质量</v>
      </c>
      <c r="R23" s="1695" t="s">
        <v>25</v>
      </c>
      <c r="S23" s="1696">
        <f>F23</f>
        <v>100</v>
      </c>
      <c r="T23" s="1695" t="s">
        <v>25</v>
      </c>
      <c r="U23" s="1696">
        <f>H23</f>
        <v>100</v>
      </c>
      <c r="V23" s="1695" t="s">
        <v>25</v>
      </c>
      <c r="W23" s="1696">
        <f>J23</f>
        <v>100</v>
      </c>
      <c r="X23" s="2044"/>
      <c r="Y23" s="3656"/>
      <c r="Z23" s="2048" t="str">
        <f>Q23</f>
        <v>环境质量</v>
      </c>
      <c r="AA23" s="2039">
        <f t="shared" si="3"/>
        <v>1</v>
      </c>
      <c r="AB23" s="2039">
        <f t="shared" si="4"/>
        <v>1</v>
      </c>
      <c r="AC23" s="2039">
        <f t="shared" si="5"/>
        <v>1</v>
      </c>
    </row>
    <row r="24" spans="1:29" ht="15">
      <c r="A24" s="1672"/>
      <c r="B24" s="2466"/>
      <c r="C24" s="1945"/>
      <c r="D24" s="1701"/>
      <c r="E24" s="1704"/>
      <c r="F24" s="1701"/>
      <c r="G24" s="1702"/>
      <c r="H24" s="1701"/>
      <c r="I24" s="1702"/>
      <c r="J24" s="1701"/>
      <c r="K24" s="2443"/>
      <c r="L24" s="2969"/>
      <c r="M24" s="2965"/>
      <c r="N24" s="2965"/>
      <c r="O24" s="2965"/>
      <c r="P24" s="3656"/>
      <c r="Q24" s="2883"/>
      <c r="R24" s="1695"/>
      <c r="S24" s="1696"/>
      <c r="T24" s="1695"/>
      <c r="U24" s="1696"/>
      <c r="V24" s="1695"/>
      <c r="W24" s="1696"/>
      <c r="X24" s="2044"/>
      <c r="Y24" s="3656"/>
      <c r="Z24" s="2048"/>
      <c r="AA24" s="2039">
        <v>1</v>
      </c>
      <c r="AB24" s="2039">
        <v>1</v>
      </c>
      <c r="AC24" s="2039">
        <v>1</v>
      </c>
    </row>
    <row r="25" spans="1:29" ht="27">
      <c r="A25" s="1637"/>
      <c r="B25" s="2464" t="s">
        <v>2331</v>
      </c>
      <c r="C25" s="2467"/>
      <c r="D25" s="1681">
        <v>100</v>
      </c>
      <c r="E25" s="1680"/>
      <c r="F25" s="1681">
        <f>SUMIF(87:87,E26,88:88)-SUMIF(87:87,C26,88:88)+100</f>
        <v>100</v>
      </c>
      <c r="G25" s="2467"/>
      <c r="H25" s="1681">
        <f>SUMIF(87:87,G26,88:88)-SUMIF(87:87,C26,88:88)+100</f>
        <v>100</v>
      </c>
      <c r="I25" s="1680"/>
      <c r="J25" s="1681">
        <f>SUMIF(87:87,I26,88:88)-SUMIF(87:87,C26,88:88)+100</f>
        <v>100</v>
      </c>
      <c r="K25" s="2442"/>
      <c r="L25" s="2969"/>
      <c r="M25" s="2965"/>
      <c r="N25" s="2965"/>
      <c r="O25" s="2965"/>
      <c r="P25" s="3656"/>
      <c r="Q25" s="2883" t="str">
        <f>B25</f>
        <v>毗邻道路的类型与等级</v>
      </c>
      <c r="R25" s="1695" t="s">
        <v>25</v>
      </c>
      <c r="S25" s="1696">
        <f>F25</f>
        <v>100</v>
      </c>
      <c r="T25" s="1695" t="s">
        <v>25</v>
      </c>
      <c r="U25" s="1696">
        <f>H25</f>
        <v>100</v>
      </c>
      <c r="V25" s="1695" t="s">
        <v>25</v>
      </c>
      <c r="W25" s="1696">
        <f>J25</f>
        <v>100</v>
      </c>
      <c r="X25" s="2044"/>
      <c r="Y25" s="3656"/>
      <c r="Z25" s="2048" t="str">
        <f>Q25</f>
        <v>毗邻道路的类型与等级</v>
      </c>
      <c r="AA25" s="2039">
        <f t="shared" si="3"/>
        <v>1</v>
      </c>
      <c r="AB25" s="2039">
        <f t="shared" si="4"/>
        <v>1</v>
      </c>
      <c r="AC25" s="2039">
        <f t="shared" si="5"/>
        <v>1</v>
      </c>
    </row>
    <row r="26" spans="1:29" ht="15">
      <c r="A26" s="1637"/>
      <c r="B26" s="2465"/>
      <c r="C26" s="1953"/>
      <c r="D26" s="1681"/>
      <c r="E26" s="1961"/>
      <c r="F26" s="1681"/>
      <c r="G26" s="1953"/>
      <c r="H26" s="1681"/>
      <c r="I26" s="1961"/>
      <c r="J26" s="1681"/>
      <c r="K26" s="2443"/>
      <c r="L26" s="2969"/>
      <c r="M26" s="2965"/>
      <c r="N26" s="2965"/>
      <c r="O26" s="2965"/>
      <c r="P26" s="3656"/>
      <c r="Q26" s="2883"/>
      <c r="R26" s="1695"/>
      <c r="S26" s="1696"/>
      <c r="T26" s="1695"/>
      <c r="U26" s="1696"/>
      <c r="V26" s="1695"/>
      <c r="W26" s="1696"/>
      <c r="X26" s="2044"/>
      <c r="Y26" s="3656"/>
      <c r="Z26" s="2048"/>
      <c r="AA26" s="2039">
        <v>1</v>
      </c>
      <c r="AB26" s="2039">
        <v>1</v>
      </c>
      <c r="AC26" s="2039">
        <v>1</v>
      </c>
    </row>
    <row r="27" spans="1:29" ht="15">
      <c r="A27" s="1672"/>
      <c r="B27" s="2465" t="s">
        <v>2304</v>
      </c>
      <c r="C27" s="3316" t="s">
        <v>3021</v>
      </c>
      <c r="D27" s="1681">
        <v>100</v>
      </c>
      <c r="E27" s="3315" t="s">
        <v>3021</v>
      </c>
      <c r="F27" s="1681">
        <f>SUMIF(89:89,E27,90:90)-SUMIF(89:89,C27,90:90)+100</f>
        <v>100</v>
      </c>
      <c r="G27" s="3316" t="s">
        <v>3009</v>
      </c>
      <c r="H27" s="1681">
        <f>SUMIF(89:89,G27,90:90)-SUMIF(89:89,C27,90:90)+100</f>
        <v>100</v>
      </c>
      <c r="I27" s="3315" t="s">
        <v>3009</v>
      </c>
      <c r="J27" s="1681">
        <f>SUMIF(89:89,I27,90:90)-SUMIF(89:89,C27,90:90)+100</f>
        <v>100</v>
      </c>
      <c r="K27" s="1962">
        <v>3</v>
      </c>
      <c r="L27" s="2969"/>
      <c r="M27" s="2965"/>
      <c r="N27" s="2965"/>
      <c r="O27" s="2965"/>
      <c r="P27" s="3656"/>
      <c r="Q27" s="2883" t="str">
        <f t="shared" ref="Q27:Q47" si="11">B27</f>
        <v>楼层</v>
      </c>
      <c r="R27" s="1695" t="s">
        <v>25</v>
      </c>
      <c r="S27" s="1696">
        <f>F27</f>
        <v>100</v>
      </c>
      <c r="T27" s="1695" t="s">
        <v>25</v>
      </c>
      <c r="U27" s="1696">
        <f>H27</f>
        <v>100</v>
      </c>
      <c r="V27" s="1695" t="s">
        <v>25</v>
      </c>
      <c r="W27" s="1696">
        <f>J27</f>
        <v>100</v>
      </c>
      <c r="X27" s="2044"/>
      <c r="Y27" s="3656"/>
      <c r="Z27" s="2048" t="str">
        <f>Q27</f>
        <v>楼层</v>
      </c>
      <c r="AA27" s="2039">
        <f t="shared" si="3"/>
        <v>1</v>
      </c>
      <c r="AB27" s="2039">
        <f t="shared" si="4"/>
        <v>1</v>
      </c>
      <c r="AC27" s="2039">
        <f t="shared" si="5"/>
        <v>1</v>
      </c>
    </row>
    <row r="28" spans="1:29" s="1654" customFormat="1" ht="15">
      <c r="A28" s="1675"/>
      <c r="B28" s="2464" t="s">
        <v>2332</v>
      </c>
      <c r="C28" s="2468"/>
      <c r="D28" s="1726">
        <v>100</v>
      </c>
      <c r="E28" s="2446"/>
      <c r="F28" s="1726">
        <f>SUMIF(91:91,E28,92:92)-SUMIF(91:91,C28,92:92)+100</f>
        <v>100</v>
      </c>
      <c r="G28" s="2468"/>
      <c r="H28" s="1726">
        <f>SUMIF(91:91,G28,92:92)-SUMIF(91:91,C28,92:92)+100</f>
        <v>100</v>
      </c>
      <c r="I28" s="2446"/>
      <c r="J28" s="1726">
        <f>SUMIF(91:91,I28,92:92)-SUMIF(91:91,C28,92:92)+100</f>
        <v>100</v>
      </c>
      <c r="K28" s="1962"/>
      <c r="L28" s="2964"/>
      <c r="M28" s="2937"/>
      <c r="N28" s="2937"/>
      <c r="O28" s="2937"/>
      <c r="P28" s="3656"/>
      <c r="Q28" s="2882" t="str">
        <f t="shared" si="11"/>
        <v>朝向</v>
      </c>
      <c r="R28" s="1650" t="s">
        <v>25</v>
      </c>
      <c r="S28" s="1651">
        <f>F28</f>
        <v>100</v>
      </c>
      <c r="T28" s="1650" t="s">
        <v>25</v>
      </c>
      <c r="U28" s="1651">
        <f>H28</f>
        <v>100</v>
      </c>
      <c r="V28" s="1650" t="s">
        <v>25</v>
      </c>
      <c r="W28" s="1651">
        <f>J28</f>
        <v>100</v>
      </c>
      <c r="X28" s="1652"/>
      <c r="Y28" s="3656"/>
      <c r="Z28" s="1663" t="str">
        <f>Q28</f>
        <v>朝向</v>
      </c>
      <c r="AA28" s="2039">
        <f>D28/F28</f>
        <v>1</v>
      </c>
      <c r="AB28" s="2039">
        <f>D28/H28</f>
        <v>1</v>
      </c>
      <c r="AC28" s="2039">
        <f>D28/J28</f>
        <v>1</v>
      </c>
    </row>
    <row r="29" spans="1:29" ht="15">
      <c r="A29" s="1672"/>
      <c r="B29" s="2469">
        <v>111</v>
      </c>
      <c r="C29" s="2467"/>
      <c r="D29" s="1681">
        <v>100</v>
      </c>
      <c r="E29" s="1677"/>
      <c r="F29" s="1681">
        <f>SUMIF(93:93,E29,94:94)-SUMIF(93:93,C29,94:94)+100</f>
        <v>100</v>
      </c>
      <c r="G29" s="2460"/>
      <c r="H29" s="1681">
        <f>SUMIF(93:93,G29,94:94)-SUMIF(93:93,C29,94:94)+100</f>
        <v>100</v>
      </c>
      <c r="I29" s="1677"/>
      <c r="J29" s="1681">
        <f>SUMIF(93:93,I29,94:94)-SUMIF(93:93,C29,94:94)+100</f>
        <v>100</v>
      </c>
      <c r="K29" s="1959"/>
      <c r="L29" s="2969"/>
      <c r="M29" s="2965"/>
      <c r="N29" s="2965"/>
      <c r="O29" s="2965"/>
      <c r="P29" s="3656"/>
      <c r="Q29" s="2883">
        <f t="shared" si="11"/>
        <v>111</v>
      </c>
      <c r="R29" s="1695" t="s">
        <v>25</v>
      </c>
      <c r="S29" s="1696">
        <f t="shared" ref="S29:S47" si="12">F29</f>
        <v>100</v>
      </c>
      <c r="T29" s="1695" t="s">
        <v>25</v>
      </c>
      <c r="U29" s="1696">
        <f t="shared" ref="U29:U47" si="13">H29</f>
        <v>100</v>
      </c>
      <c r="V29" s="1695" t="s">
        <v>25</v>
      </c>
      <c r="W29" s="1696">
        <f t="shared" ref="W29:W47" si="14">J29</f>
        <v>100</v>
      </c>
      <c r="X29" s="2044"/>
      <c r="Y29" s="3656"/>
      <c r="Z29" s="2048">
        <f t="shared" ref="Z29:Z47" si="15">Q29</f>
        <v>111</v>
      </c>
      <c r="AA29" s="2039">
        <f t="shared" si="3"/>
        <v>1</v>
      </c>
      <c r="AB29" s="2039">
        <f t="shared" si="4"/>
        <v>1</v>
      </c>
      <c r="AC29" s="2039">
        <f t="shared" si="5"/>
        <v>1</v>
      </c>
    </row>
    <row r="30" spans="1:29" ht="15">
      <c r="A30" s="1672"/>
      <c r="B30" s="2469">
        <v>111</v>
      </c>
      <c r="C30" s="2467"/>
      <c r="D30" s="1681">
        <v>100</v>
      </c>
      <c r="E30" s="1677"/>
      <c r="F30" s="1681">
        <f>SUMIF(95:95,E30,96:96)-SUMIF(95:95,C30,96:96)+100</f>
        <v>100</v>
      </c>
      <c r="G30" s="2460"/>
      <c r="H30" s="1681">
        <f>SUMIF(95:95,G30,96:96)-SUMIF(95:95,C30,96:96)+100</f>
        <v>100</v>
      </c>
      <c r="I30" s="1677"/>
      <c r="J30" s="1681">
        <f>SUMIF(95:95,I30,96:96)-SUMIF(95:95,C30,96:96)+100</f>
        <v>100</v>
      </c>
      <c r="K30" s="1959"/>
      <c r="L30" s="2969"/>
      <c r="M30" s="2965"/>
      <c r="N30" s="2965"/>
      <c r="O30" s="2965"/>
      <c r="P30" s="3656"/>
      <c r="Q30" s="2883">
        <f t="shared" si="11"/>
        <v>111</v>
      </c>
      <c r="R30" s="1695" t="s">
        <v>25</v>
      </c>
      <c r="S30" s="1696">
        <f t="shared" si="12"/>
        <v>100</v>
      </c>
      <c r="T30" s="1695" t="s">
        <v>25</v>
      </c>
      <c r="U30" s="1696">
        <f t="shared" si="13"/>
        <v>100</v>
      </c>
      <c r="V30" s="1695" t="s">
        <v>25</v>
      </c>
      <c r="W30" s="1696">
        <f t="shared" si="14"/>
        <v>100</v>
      </c>
      <c r="X30" s="2044"/>
      <c r="Y30" s="3656"/>
      <c r="Z30" s="2048">
        <f t="shared" si="15"/>
        <v>111</v>
      </c>
      <c r="AA30" s="2039">
        <f t="shared" si="3"/>
        <v>1</v>
      </c>
      <c r="AB30" s="2039">
        <f t="shared" si="4"/>
        <v>1</v>
      </c>
      <c r="AC30" s="2039">
        <f t="shared" si="5"/>
        <v>1</v>
      </c>
    </row>
    <row r="31" spans="1:29" ht="15">
      <c r="A31" s="1672"/>
      <c r="B31" s="2469">
        <v>111</v>
      </c>
      <c r="C31" s="2467"/>
      <c r="D31" s="1681">
        <v>100</v>
      </c>
      <c r="E31" s="1677"/>
      <c r="F31" s="1681">
        <f>SUMIF(97:97,E31,98:98)-SUMIF(97:97,C31,98:98)+100</f>
        <v>100</v>
      </c>
      <c r="G31" s="2460"/>
      <c r="H31" s="1681">
        <f>SUMIF(97:97,G31,98:98)-SUMIF(97:97,C31,98:98)+100</f>
        <v>100</v>
      </c>
      <c r="I31" s="1677"/>
      <c r="J31" s="1681">
        <f>SUMIF(97:97,I31,98:98)-SUMIF(97:97,C31,98:98)+100</f>
        <v>100</v>
      </c>
      <c r="K31" s="1959"/>
      <c r="L31" s="2969"/>
      <c r="M31" s="2965"/>
      <c r="N31" s="2965"/>
      <c r="O31" s="2965"/>
      <c r="P31" s="3656"/>
      <c r="Q31" s="2883">
        <f t="shared" si="11"/>
        <v>111</v>
      </c>
      <c r="R31" s="1695" t="s">
        <v>25</v>
      </c>
      <c r="S31" s="1696">
        <f t="shared" si="12"/>
        <v>100</v>
      </c>
      <c r="T31" s="1695" t="s">
        <v>25</v>
      </c>
      <c r="U31" s="1696">
        <f t="shared" si="13"/>
        <v>100</v>
      </c>
      <c r="V31" s="1695" t="s">
        <v>25</v>
      </c>
      <c r="W31" s="1696">
        <f t="shared" si="14"/>
        <v>100</v>
      </c>
      <c r="X31" s="2044"/>
      <c r="Y31" s="3656"/>
      <c r="Z31" s="2048">
        <f t="shared" si="15"/>
        <v>111</v>
      </c>
      <c r="AA31" s="2039">
        <f t="shared" si="3"/>
        <v>1</v>
      </c>
      <c r="AB31" s="2039">
        <f t="shared" si="4"/>
        <v>1</v>
      </c>
      <c r="AC31" s="2039">
        <f t="shared" si="5"/>
        <v>1</v>
      </c>
    </row>
    <row r="32" spans="1:29" ht="15.75" thickBot="1">
      <c r="A32" s="1682"/>
      <c r="B32" s="2470">
        <v>111</v>
      </c>
      <c r="C32" s="2471"/>
      <c r="D32" s="1685">
        <v>100</v>
      </c>
      <c r="E32" s="2461"/>
      <c r="F32" s="1685">
        <f>SUMIF(99:99,E32,100:100)-SUMIF(99:99,C32,100:100)+100</f>
        <v>100</v>
      </c>
      <c r="G32" s="2460"/>
      <c r="H32" s="1685">
        <f>SUMIF(99:99,G32,100:100)-SUMIF(99:99,C32,100:100)+100</f>
        <v>100</v>
      </c>
      <c r="I32" s="1677"/>
      <c r="J32" s="1685">
        <f>SUMIF(99:99,I32,100:100)-SUMIF(99:99,C32,100:100)+100</f>
        <v>100</v>
      </c>
      <c r="K32" s="1959"/>
      <c r="L32" s="2969"/>
      <c r="M32" s="2965"/>
      <c r="N32" s="2965"/>
      <c r="O32" s="2965"/>
      <c r="P32" s="3656"/>
      <c r="Q32" s="2883">
        <f t="shared" si="11"/>
        <v>111</v>
      </c>
      <c r="R32" s="1695" t="s">
        <v>25</v>
      </c>
      <c r="S32" s="1696">
        <f t="shared" si="12"/>
        <v>100</v>
      </c>
      <c r="T32" s="1695" t="s">
        <v>25</v>
      </c>
      <c r="U32" s="1696">
        <f t="shared" si="13"/>
        <v>100</v>
      </c>
      <c r="V32" s="1695" t="s">
        <v>25</v>
      </c>
      <c r="W32" s="1696">
        <f t="shared" si="14"/>
        <v>100</v>
      </c>
      <c r="X32" s="2044"/>
      <c r="Y32" s="3656"/>
      <c r="Z32" s="2048">
        <f t="shared" si="15"/>
        <v>111</v>
      </c>
      <c r="AA32" s="2039">
        <f t="shared" si="3"/>
        <v>1</v>
      </c>
      <c r="AB32" s="2039">
        <f t="shared" si="4"/>
        <v>1</v>
      </c>
      <c r="AC32" s="2039">
        <f t="shared" si="5"/>
        <v>1</v>
      </c>
    </row>
    <row r="33" spans="1:29" ht="15">
      <c r="A33" s="1687" t="s">
        <v>2217</v>
      </c>
      <c r="B33" s="1657" t="s">
        <v>2333</v>
      </c>
      <c r="C33" s="2472"/>
      <c r="D33" s="1732">
        <v>100</v>
      </c>
      <c r="E33" s="2472"/>
      <c r="F33" s="1724">
        <f>SUMIF(101:101,E33,102:102)-SUMIF(101:101,C33,102:102)+100</f>
        <v>100</v>
      </c>
      <c r="G33" s="2472"/>
      <c r="H33" s="1681">
        <f>SUMIF(101:101,G33,102:102)-SUMIF(101:101,C33,102:102)+100</f>
        <v>100</v>
      </c>
      <c r="I33" s="2472"/>
      <c r="J33" s="1732">
        <f>SUMIF(101:101,I33,102:102)-SUMIF(101:101,C33,102:102)+100</f>
        <v>100</v>
      </c>
      <c r="K33" s="1962"/>
      <c r="L33" s="2969"/>
      <c r="M33" s="2965"/>
      <c r="N33" s="2965"/>
      <c r="O33" s="2965"/>
      <c r="P33" s="3657" t="s">
        <v>2219</v>
      </c>
      <c r="Q33" s="2883" t="str">
        <f t="shared" si="11"/>
        <v>建筑类型</v>
      </c>
      <c r="R33" s="1695" t="s">
        <v>25</v>
      </c>
      <c r="S33" s="1696">
        <f t="shared" si="12"/>
        <v>100</v>
      </c>
      <c r="T33" s="1695" t="s">
        <v>25</v>
      </c>
      <c r="U33" s="1696">
        <f t="shared" si="13"/>
        <v>100</v>
      </c>
      <c r="V33" s="1695" t="s">
        <v>25</v>
      </c>
      <c r="W33" s="1696">
        <f t="shared" si="14"/>
        <v>100</v>
      </c>
      <c r="X33" s="2044"/>
      <c r="Y33" s="3658" t="s">
        <v>2219</v>
      </c>
      <c r="Z33" s="2048" t="str">
        <f t="shared" si="15"/>
        <v>建筑类型</v>
      </c>
      <c r="AA33" s="2039">
        <f t="shared" si="3"/>
        <v>1</v>
      </c>
      <c r="AB33" s="2039">
        <f t="shared" si="4"/>
        <v>1</v>
      </c>
      <c r="AC33" s="2039">
        <f t="shared" si="5"/>
        <v>1</v>
      </c>
    </row>
    <row r="34" spans="1:29" s="1741" customFormat="1" ht="15">
      <c r="A34" s="1734"/>
      <c r="B34" s="1665" t="s">
        <v>2220</v>
      </c>
      <c r="C34" s="1735">
        <f>典型户型修正!B27</f>
        <v>125.51</v>
      </c>
      <c r="D34" s="1667">
        <v>100</v>
      </c>
      <c r="E34" s="1674">
        <v>200</v>
      </c>
      <c r="F34" s="1669">
        <f>LOOKUP(E34,104:104,105:105)-LOOKUP(C34,104:104,105:105)+100</f>
        <v>102</v>
      </c>
      <c r="G34" s="1673">
        <v>85</v>
      </c>
      <c r="H34" s="1667">
        <f>LOOKUP(G34,104:104,105:105)-LOOKUP(C34,104:104,105:105)+100</f>
        <v>98</v>
      </c>
      <c r="I34" s="1673">
        <v>197.68</v>
      </c>
      <c r="J34" s="1667">
        <f>LOOKUP(I34,104:104,105:105)-LOOKUP(C34,104:104,105:105)+100</f>
        <v>100</v>
      </c>
      <c r="K34" s="1959"/>
      <c r="L34" s="2968"/>
      <c r="M34" s="2029"/>
      <c r="N34" s="2029"/>
      <c r="O34" s="2029"/>
      <c r="P34" s="3658"/>
      <c r="Q34" s="1736" t="str">
        <f t="shared" si="11"/>
        <v>项目建筑规模</v>
      </c>
      <c r="R34" s="1737" t="s">
        <v>25</v>
      </c>
      <c r="S34" s="1738">
        <f t="shared" si="12"/>
        <v>102</v>
      </c>
      <c r="T34" s="1737" t="s">
        <v>25</v>
      </c>
      <c r="U34" s="1738">
        <f t="shared" si="13"/>
        <v>98</v>
      </c>
      <c r="V34" s="1737" t="s">
        <v>25</v>
      </c>
      <c r="W34" s="1738">
        <f t="shared" si="14"/>
        <v>100</v>
      </c>
      <c r="X34" s="1739"/>
      <c r="Y34" s="3658"/>
      <c r="Z34" s="1740" t="str">
        <f t="shared" si="15"/>
        <v>项目建筑规模</v>
      </c>
      <c r="AA34" s="2039">
        <f t="shared" si="3"/>
        <v>0.98039215686274506</v>
      </c>
      <c r="AB34" s="2039">
        <f t="shared" si="4"/>
        <v>1.0204081632653061</v>
      </c>
      <c r="AC34" s="2039">
        <f t="shared" si="5"/>
        <v>1</v>
      </c>
    </row>
    <row r="35" spans="1:29" ht="15">
      <c r="A35" s="1742"/>
      <c r="B35" s="1665" t="s">
        <v>2221</v>
      </c>
      <c r="C35" s="1722"/>
      <c r="D35" s="1681">
        <v>100</v>
      </c>
      <c r="E35" s="1722"/>
      <c r="F35" s="1724">
        <f>SUMIF(106:106,E35,107:107)-SUMIF(106:106,C35,107:107)+100</f>
        <v>100</v>
      </c>
      <c r="G35" s="1722"/>
      <c r="H35" s="1681">
        <f>SUMIF(106:106,G35,107:107)-SUMIF(106:106,C35,107:107)+100</f>
        <v>100</v>
      </c>
      <c r="I35" s="1722"/>
      <c r="J35" s="1681">
        <f>SUMIF(106:106,I35,107:107)-SUMIF(106:106,C35,107:107)+100</f>
        <v>100</v>
      </c>
      <c r="K35" s="1962"/>
      <c r="L35" s="2969"/>
      <c r="M35" s="2965"/>
      <c r="N35" s="2965"/>
      <c r="O35" s="2965"/>
      <c r="P35" s="3658"/>
      <c r="Q35" s="2883" t="str">
        <f t="shared" si="11"/>
        <v>建筑结构</v>
      </c>
      <c r="R35" s="1695" t="s">
        <v>25</v>
      </c>
      <c r="S35" s="1696">
        <f t="shared" si="12"/>
        <v>100</v>
      </c>
      <c r="T35" s="1695" t="s">
        <v>25</v>
      </c>
      <c r="U35" s="1696">
        <f t="shared" si="13"/>
        <v>100</v>
      </c>
      <c r="V35" s="1695" t="s">
        <v>25</v>
      </c>
      <c r="W35" s="1696">
        <f t="shared" si="14"/>
        <v>100</v>
      </c>
      <c r="X35" s="2044"/>
      <c r="Y35" s="3658"/>
      <c r="Z35" s="2048" t="str">
        <f t="shared" si="15"/>
        <v>建筑结构</v>
      </c>
      <c r="AA35" s="2039">
        <f t="shared" si="3"/>
        <v>1</v>
      </c>
      <c r="AB35" s="2039">
        <f t="shared" si="4"/>
        <v>1</v>
      </c>
      <c r="AC35" s="2039">
        <f t="shared" si="5"/>
        <v>1</v>
      </c>
    </row>
    <row r="36" spans="1:29" ht="15">
      <c r="A36" s="1742"/>
      <c r="B36" s="1665" t="s">
        <v>2306</v>
      </c>
      <c r="C36" s="1722"/>
      <c r="D36" s="1681">
        <v>100</v>
      </c>
      <c r="E36" s="1722"/>
      <c r="F36" s="1724">
        <f>SUMIF(108:108,E36,109:109)-SUMIF(108:108,C36,109:109)+100</f>
        <v>100</v>
      </c>
      <c r="G36" s="1722"/>
      <c r="H36" s="1681">
        <f>SUMIF(108:108,G36,109:109)-SUMIF(108:108,C36,109:109)+100</f>
        <v>100</v>
      </c>
      <c r="I36" s="1722"/>
      <c r="J36" s="1681">
        <f>SUMIF(108:108,I36,109:109)-SUMIF(108:108,C36,109:109)+100</f>
        <v>100</v>
      </c>
      <c r="K36" s="1962"/>
      <c r="L36" s="2969"/>
      <c r="M36" s="2965"/>
      <c r="N36" s="2965"/>
      <c r="O36" s="2965"/>
      <c r="P36" s="3658"/>
      <c r="Q36" s="2883" t="str">
        <f t="shared" si="11"/>
        <v>公共部分装修</v>
      </c>
      <c r="R36" s="1695" t="s">
        <v>25</v>
      </c>
      <c r="S36" s="1696">
        <f t="shared" si="12"/>
        <v>100</v>
      </c>
      <c r="T36" s="1695" t="s">
        <v>25</v>
      </c>
      <c r="U36" s="1696">
        <f t="shared" si="13"/>
        <v>100</v>
      </c>
      <c r="V36" s="1695" t="s">
        <v>25</v>
      </c>
      <c r="W36" s="1696">
        <f t="shared" si="14"/>
        <v>100</v>
      </c>
      <c r="X36" s="2044"/>
      <c r="Y36" s="3658"/>
      <c r="Z36" s="2048" t="str">
        <f t="shared" si="15"/>
        <v>公共部分装修</v>
      </c>
      <c r="AA36" s="2039">
        <f t="shared" si="3"/>
        <v>1</v>
      </c>
      <c r="AB36" s="2039">
        <f t="shared" si="4"/>
        <v>1</v>
      </c>
      <c r="AC36" s="2039">
        <f t="shared" si="5"/>
        <v>1</v>
      </c>
    </row>
    <row r="37" spans="1:29" ht="15">
      <c r="A37" s="1742"/>
      <c r="B37" s="1665" t="s">
        <v>2307</v>
      </c>
      <c r="C37" s="1746">
        <f>'数据-取费表'!E20</f>
        <v>0.74</v>
      </c>
      <c r="D37" s="1681">
        <v>100</v>
      </c>
      <c r="E37" s="1746">
        <f>C37</f>
        <v>0.74</v>
      </c>
      <c r="F37" s="1724">
        <f>LOOKUP(E37,111:111,112:112)-LOOKUP(C37,111:111,112:112)+100</f>
        <v>100</v>
      </c>
      <c r="G37" s="1746">
        <f>C37</f>
        <v>0.74</v>
      </c>
      <c r="H37" s="1724">
        <f>LOOKUP(G37,111:111,112:112)-LOOKUP(C37,111:111,112:112)+100</f>
        <v>100</v>
      </c>
      <c r="I37" s="1746">
        <f>C37</f>
        <v>0.74</v>
      </c>
      <c r="J37" s="1681">
        <f>LOOKUP(I37,111:111,112:112)-LOOKUP(C37,111:111,112:112)+100</f>
        <v>100</v>
      </c>
      <c r="K37" s="1962"/>
      <c r="L37" s="2969"/>
      <c r="M37" s="2965"/>
      <c r="N37" s="2965"/>
      <c r="O37" s="2965"/>
      <c r="P37" s="3658"/>
      <c r="Q37" s="2883" t="str">
        <f t="shared" si="11"/>
        <v>成新度</v>
      </c>
      <c r="R37" s="1695" t="s">
        <v>25</v>
      </c>
      <c r="S37" s="1696">
        <f t="shared" si="12"/>
        <v>100</v>
      </c>
      <c r="T37" s="1695" t="s">
        <v>25</v>
      </c>
      <c r="U37" s="1696">
        <f t="shared" si="13"/>
        <v>100</v>
      </c>
      <c r="V37" s="1695" t="s">
        <v>25</v>
      </c>
      <c r="W37" s="1696">
        <f t="shared" si="14"/>
        <v>100</v>
      </c>
      <c r="X37" s="2044"/>
      <c r="Y37" s="3658"/>
      <c r="Z37" s="2048" t="str">
        <f t="shared" si="15"/>
        <v>成新度</v>
      </c>
      <c r="AA37" s="2039">
        <f t="shared" si="3"/>
        <v>1</v>
      </c>
      <c r="AB37" s="2039">
        <f t="shared" si="4"/>
        <v>1</v>
      </c>
      <c r="AC37" s="2039">
        <f t="shared" si="5"/>
        <v>1</v>
      </c>
    </row>
    <row r="38" spans="1:29" s="1654" customFormat="1" ht="15">
      <c r="A38" s="1745"/>
      <c r="B38" s="1665" t="s">
        <v>2334</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62"/>
      <c r="L38" s="2964"/>
      <c r="M38" s="2937"/>
      <c r="N38" s="2937"/>
      <c r="O38" s="2937"/>
      <c r="P38" s="3658"/>
      <c r="Q38" s="2882" t="str">
        <f t="shared" si="11"/>
        <v>写字楼等级</v>
      </c>
      <c r="R38" s="1650" t="s">
        <v>25</v>
      </c>
      <c r="S38" s="1651">
        <f t="shared" si="12"/>
        <v>100</v>
      </c>
      <c r="T38" s="1650" t="s">
        <v>25</v>
      </c>
      <c r="U38" s="1651">
        <f t="shared" si="13"/>
        <v>100</v>
      </c>
      <c r="V38" s="1650" t="s">
        <v>25</v>
      </c>
      <c r="W38" s="1651">
        <f t="shared" si="14"/>
        <v>100</v>
      </c>
      <c r="X38" s="1652"/>
      <c r="Y38" s="3658"/>
      <c r="Z38" s="1663" t="str">
        <f t="shared" si="15"/>
        <v>写字楼等级</v>
      </c>
      <c r="AA38" s="1653">
        <f t="shared" si="3"/>
        <v>1</v>
      </c>
      <c r="AB38" s="1653">
        <f t="shared" si="4"/>
        <v>1</v>
      </c>
      <c r="AC38" s="1653">
        <f t="shared" si="5"/>
        <v>1</v>
      </c>
    </row>
    <row r="39" spans="1:29" ht="15">
      <c r="A39" s="1742"/>
      <c r="B39" s="1665" t="s">
        <v>2335</v>
      </c>
      <c r="C39" s="1722"/>
      <c r="D39" s="1681">
        <v>100</v>
      </c>
      <c r="E39" s="1722"/>
      <c r="F39" s="1724">
        <f>SUMIF(115:115,E39,116:116)-SUMIF(115:115,C39,116:116)+100</f>
        <v>100</v>
      </c>
      <c r="G39" s="1722"/>
      <c r="H39" s="1681">
        <f>SUMIF(115:115,G39,116:116)-SUMIF(115:115,C39,116:116)+100</f>
        <v>100</v>
      </c>
      <c r="I39" s="1722"/>
      <c r="J39" s="1681">
        <f>SUMIF(115:115,I39,116:116)-SUMIF(115:115,C39,116:116)+100</f>
        <v>100</v>
      </c>
      <c r="K39" s="1962"/>
      <c r="L39" s="2969"/>
      <c r="M39" s="2965"/>
      <c r="N39" s="2965"/>
      <c r="O39" s="2965"/>
      <c r="P39" s="3658" t="s">
        <v>2219</v>
      </c>
      <c r="Q39" s="2883" t="str">
        <f t="shared" si="11"/>
        <v>物业管理</v>
      </c>
      <c r="R39" s="1695" t="s">
        <v>25</v>
      </c>
      <c r="S39" s="1696">
        <f t="shared" si="12"/>
        <v>100</v>
      </c>
      <c r="T39" s="1695" t="s">
        <v>25</v>
      </c>
      <c r="U39" s="1696">
        <f t="shared" si="13"/>
        <v>100</v>
      </c>
      <c r="V39" s="1695" t="s">
        <v>25</v>
      </c>
      <c r="W39" s="1696">
        <f t="shared" si="14"/>
        <v>100</v>
      </c>
      <c r="X39" s="2044"/>
      <c r="Y39" s="3658" t="s">
        <v>2219</v>
      </c>
      <c r="Z39" s="2048" t="str">
        <f t="shared" si="15"/>
        <v>物业管理</v>
      </c>
      <c r="AA39" s="2039">
        <f t="shared" si="3"/>
        <v>1</v>
      </c>
      <c r="AB39" s="2039">
        <f t="shared" si="4"/>
        <v>1</v>
      </c>
      <c r="AC39" s="2039">
        <f t="shared" si="5"/>
        <v>1</v>
      </c>
    </row>
    <row r="40" spans="1:29" ht="15">
      <c r="A40" s="1742"/>
      <c r="B40" s="1665" t="s">
        <v>2308</v>
      </c>
      <c r="C40" s="1722"/>
      <c r="D40" s="1681">
        <v>100</v>
      </c>
      <c r="E40" s="1722"/>
      <c r="F40" s="1724">
        <f>SUMIF(117:117,E40,118:118)-SUMIF(117:117,C40,118:118)+100</f>
        <v>100</v>
      </c>
      <c r="G40" s="1722"/>
      <c r="H40" s="1681">
        <f>SUMIF(117:117,G40,118:118)-SUMIF(117:117,C40,118:118)+100</f>
        <v>100</v>
      </c>
      <c r="I40" s="1722"/>
      <c r="J40" s="1681">
        <f>SUMIF(117:117,I40,118:118)-SUMIF(117:117,C40,118:118)+100</f>
        <v>100</v>
      </c>
      <c r="K40" s="1962"/>
      <c r="L40" s="2969"/>
      <c r="M40" s="2965"/>
      <c r="N40" s="2965"/>
      <c r="O40" s="2965"/>
      <c r="P40" s="3658"/>
      <c r="Q40" s="2883" t="str">
        <f t="shared" si="11"/>
        <v>市政基础设施</v>
      </c>
      <c r="R40" s="1695" t="s">
        <v>25</v>
      </c>
      <c r="S40" s="1696">
        <f t="shared" si="12"/>
        <v>100</v>
      </c>
      <c r="T40" s="1695" t="s">
        <v>25</v>
      </c>
      <c r="U40" s="1696">
        <f t="shared" si="13"/>
        <v>100</v>
      </c>
      <c r="V40" s="1695" t="s">
        <v>25</v>
      </c>
      <c r="W40" s="1696">
        <f t="shared" si="14"/>
        <v>100</v>
      </c>
      <c r="X40" s="2044"/>
      <c r="Y40" s="3658"/>
      <c r="Z40" s="2048" t="str">
        <f t="shared" si="15"/>
        <v>市政基础设施</v>
      </c>
      <c r="AA40" s="2039">
        <f t="shared" si="3"/>
        <v>1</v>
      </c>
      <c r="AB40" s="2039">
        <f t="shared" si="4"/>
        <v>1</v>
      </c>
      <c r="AC40" s="2039">
        <f t="shared" si="5"/>
        <v>1</v>
      </c>
    </row>
    <row r="41" spans="1:29" ht="15">
      <c r="A41" s="1742"/>
      <c r="B41" s="1665" t="s">
        <v>2310</v>
      </c>
      <c r="C41" s="1961"/>
      <c r="D41" s="1681">
        <v>100</v>
      </c>
      <c r="E41" s="1961"/>
      <c r="F41" s="1724">
        <f>SUMIF(119:119,E41,120:120)-SUMIF(119:119,C41,120:120)+100</f>
        <v>100</v>
      </c>
      <c r="G41" s="1961"/>
      <c r="H41" s="1681">
        <f>SUMIF(119:119,G41,120:120)-SUMIF(119:119,C41,120:120)+100</f>
        <v>100</v>
      </c>
      <c r="I41" s="1961"/>
      <c r="J41" s="1681">
        <f>SUMIF(119:119,I41,120:120)-SUMIF(119:119,C41,120:120)+100</f>
        <v>100</v>
      </c>
      <c r="K41" s="1962"/>
      <c r="L41" s="2969"/>
      <c r="M41" s="2965"/>
      <c r="N41" s="2965"/>
      <c r="O41" s="2965"/>
      <c r="P41" s="3658"/>
      <c r="Q41" s="2883" t="str">
        <f t="shared" si="11"/>
        <v>层高</v>
      </c>
      <c r="R41" s="1695" t="s">
        <v>25</v>
      </c>
      <c r="S41" s="1696">
        <f t="shared" si="12"/>
        <v>100</v>
      </c>
      <c r="T41" s="1695" t="s">
        <v>25</v>
      </c>
      <c r="U41" s="1696">
        <f t="shared" si="13"/>
        <v>100</v>
      </c>
      <c r="V41" s="1695" t="s">
        <v>25</v>
      </c>
      <c r="W41" s="1696">
        <f t="shared" si="14"/>
        <v>100</v>
      </c>
      <c r="X41" s="2044"/>
      <c r="Y41" s="3658"/>
      <c r="Z41" s="2048" t="str">
        <f t="shared" si="15"/>
        <v>层高</v>
      </c>
      <c r="AA41" s="2039">
        <f t="shared" si="3"/>
        <v>1</v>
      </c>
      <c r="AB41" s="2039">
        <f t="shared" si="4"/>
        <v>1</v>
      </c>
      <c r="AC41" s="2039">
        <f t="shared" si="5"/>
        <v>1</v>
      </c>
    </row>
    <row r="42" spans="1:29" s="1741" customFormat="1" ht="15">
      <c r="A42" s="1734"/>
      <c r="B42" s="2040" t="s">
        <v>2336</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9"/>
      <c r="L42" s="2968"/>
      <c r="M42" s="2029"/>
      <c r="N42" s="2029"/>
      <c r="O42" s="2029"/>
      <c r="P42" s="3658"/>
      <c r="Q42" s="1736" t="str">
        <f t="shared" si="11"/>
        <v>单套建筑面积</v>
      </c>
      <c r="R42" s="1737" t="s">
        <v>25</v>
      </c>
      <c r="S42" s="1738">
        <f t="shared" si="12"/>
        <v>100</v>
      </c>
      <c r="T42" s="1737" t="s">
        <v>25</v>
      </c>
      <c r="U42" s="1738">
        <f t="shared" si="13"/>
        <v>100</v>
      </c>
      <c r="V42" s="1737" t="s">
        <v>25</v>
      </c>
      <c r="W42" s="1738">
        <f t="shared" si="14"/>
        <v>100</v>
      </c>
      <c r="X42" s="1739"/>
      <c r="Y42" s="3658"/>
      <c r="Z42" s="1740" t="str">
        <f t="shared" si="15"/>
        <v>单套建筑面积</v>
      </c>
      <c r="AA42" s="2039">
        <f t="shared" si="3"/>
        <v>1</v>
      </c>
      <c r="AB42" s="2039">
        <f t="shared" si="4"/>
        <v>1</v>
      </c>
      <c r="AC42" s="2039">
        <f t="shared" si="5"/>
        <v>1</v>
      </c>
    </row>
    <row r="43" spans="1:29" ht="15">
      <c r="A43" s="1742"/>
      <c r="B43" s="1665" t="s">
        <v>2313</v>
      </c>
      <c r="C43" s="1722"/>
      <c r="D43" s="1681">
        <v>100</v>
      </c>
      <c r="E43" s="1722"/>
      <c r="F43" s="1724">
        <f>SUMIF(123:123,E43,124:124)-SUMIF(123:123,C43,124:124)+100</f>
        <v>100</v>
      </c>
      <c r="G43" s="1722"/>
      <c r="H43" s="1681">
        <f>SUMIF(123:123,G43,124:124)-SUMIF(123:123,C43,124:124)+100</f>
        <v>100</v>
      </c>
      <c r="I43" s="1722"/>
      <c r="J43" s="1681">
        <f>SUMIF(123:123,I43,124:124)-SUMIF(123:123,C43,124:124)+100</f>
        <v>100</v>
      </c>
      <c r="K43" s="1962"/>
      <c r="L43" s="2969"/>
      <c r="M43" s="2965"/>
      <c r="N43" s="2965"/>
      <c r="O43" s="2965"/>
      <c r="P43" s="3658"/>
      <c r="Q43" s="2883" t="str">
        <f t="shared" si="11"/>
        <v>内部装修</v>
      </c>
      <c r="R43" s="1695" t="s">
        <v>25</v>
      </c>
      <c r="S43" s="1696">
        <f t="shared" si="12"/>
        <v>100</v>
      </c>
      <c r="T43" s="1695" t="s">
        <v>25</v>
      </c>
      <c r="U43" s="1696">
        <f t="shared" si="13"/>
        <v>100</v>
      </c>
      <c r="V43" s="1695" t="s">
        <v>25</v>
      </c>
      <c r="W43" s="1696">
        <f t="shared" si="14"/>
        <v>100</v>
      </c>
      <c r="X43" s="2044"/>
      <c r="Y43" s="3658"/>
      <c r="Z43" s="2048" t="str">
        <f t="shared" si="15"/>
        <v>内部装修</v>
      </c>
      <c r="AA43" s="2039">
        <f t="shared" si="3"/>
        <v>1</v>
      </c>
      <c r="AB43" s="2039">
        <f t="shared" si="4"/>
        <v>1</v>
      </c>
      <c r="AC43" s="2039">
        <f t="shared" si="5"/>
        <v>1</v>
      </c>
    </row>
    <row r="44" spans="1:29" ht="15">
      <c r="A44" s="1742"/>
      <c r="B44" s="1665" t="s">
        <v>2230</v>
      </c>
      <c r="C44" s="1722"/>
      <c r="D44" s="1681">
        <v>100</v>
      </c>
      <c r="E44" s="1725"/>
      <c r="F44" s="1724">
        <f>SUMIF(125:125,E44,126:126)-SUMIF(125:125,C44,126:126)+100</f>
        <v>100</v>
      </c>
      <c r="G44" s="1725"/>
      <c r="H44" s="1681">
        <f>SUMIF(125:125,G44,126:126)-SUMIF(125:125,C44,126:126)+100</f>
        <v>100</v>
      </c>
      <c r="I44" s="1725"/>
      <c r="J44" s="1681">
        <f>SUMIF(125:125,I44,126:126)-SUMIF(125:125,C44,126:126)+100</f>
        <v>100</v>
      </c>
      <c r="K44" s="1962"/>
      <c r="L44" s="2969"/>
      <c r="M44" s="2965"/>
      <c r="N44" s="2965"/>
      <c r="O44" s="2965"/>
      <c r="P44" s="3658"/>
      <c r="Q44" s="2883" t="str">
        <f t="shared" si="11"/>
        <v>内部装修维护情况</v>
      </c>
      <c r="R44" s="1695" t="s">
        <v>25</v>
      </c>
      <c r="S44" s="1696">
        <f t="shared" si="12"/>
        <v>100</v>
      </c>
      <c r="T44" s="1695" t="s">
        <v>25</v>
      </c>
      <c r="U44" s="1696">
        <f t="shared" si="13"/>
        <v>100</v>
      </c>
      <c r="V44" s="1695" t="s">
        <v>25</v>
      </c>
      <c r="W44" s="1696">
        <f t="shared" si="14"/>
        <v>100</v>
      </c>
      <c r="X44" s="2044"/>
      <c r="Y44" s="3658"/>
      <c r="Z44" s="2048" t="str">
        <f t="shared" si="15"/>
        <v>内部装修维护情况</v>
      </c>
      <c r="AA44" s="2039">
        <f t="shared" si="3"/>
        <v>1</v>
      </c>
      <c r="AB44" s="2039">
        <f t="shared" si="4"/>
        <v>1</v>
      </c>
      <c r="AC44" s="2039">
        <f t="shared" si="5"/>
        <v>1</v>
      </c>
    </row>
    <row r="45" spans="1:29" s="1654"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64"/>
      <c r="M45" s="2937"/>
      <c r="N45" s="2937"/>
      <c r="O45" s="2937"/>
      <c r="P45" s="3658"/>
      <c r="Q45" s="2882">
        <f t="shared" si="11"/>
        <v>111</v>
      </c>
      <c r="R45" s="1650" t="s">
        <v>25</v>
      </c>
      <c r="S45" s="1651">
        <f t="shared" si="12"/>
        <v>100</v>
      </c>
      <c r="T45" s="1650" t="s">
        <v>25</v>
      </c>
      <c r="U45" s="1651">
        <f t="shared" si="13"/>
        <v>100</v>
      </c>
      <c r="V45" s="1650" t="s">
        <v>25</v>
      </c>
      <c r="W45" s="1651">
        <f t="shared" si="14"/>
        <v>100</v>
      </c>
      <c r="X45" s="1652"/>
      <c r="Y45" s="3658"/>
      <c r="Z45" s="1663">
        <f t="shared" si="15"/>
        <v>111</v>
      </c>
      <c r="AA45" s="1653">
        <f t="shared" si="3"/>
        <v>1</v>
      </c>
      <c r="AB45" s="1653">
        <f t="shared" si="4"/>
        <v>1</v>
      </c>
      <c r="AC45" s="1653">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69"/>
      <c r="M46" s="2965"/>
      <c r="N46" s="2965"/>
      <c r="O46" s="2965"/>
      <c r="P46" s="3658"/>
      <c r="Q46" s="2883">
        <f t="shared" si="11"/>
        <v>111</v>
      </c>
      <c r="R46" s="1695" t="s">
        <v>25</v>
      </c>
      <c r="S46" s="1696">
        <f t="shared" si="12"/>
        <v>100</v>
      </c>
      <c r="T46" s="1695" t="s">
        <v>25</v>
      </c>
      <c r="U46" s="1696">
        <f t="shared" si="13"/>
        <v>100</v>
      </c>
      <c r="V46" s="1695" t="s">
        <v>25</v>
      </c>
      <c r="W46" s="1696">
        <f t="shared" si="14"/>
        <v>100</v>
      </c>
      <c r="X46" s="2044"/>
      <c r="Y46" s="3658"/>
      <c r="Z46" s="2048">
        <f t="shared" si="15"/>
        <v>111</v>
      </c>
      <c r="AA46" s="2039">
        <f t="shared" si="3"/>
        <v>1</v>
      </c>
      <c r="AB46" s="2039">
        <f t="shared" si="4"/>
        <v>1</v>
      </c>
      <c r="AC46" s="2039">
        <f t="shared" si="5"/>
        <v>1</v>
      </c>
    </row>
    <row r="47" spans="1:29" ht="15.75"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69"/>
      <c r="M47" s="2965"/>
      <c r="N47" s="2965"/>
      <c r="O47" s="2965"/>
      <c r="P47" s="3659"/>
      <c r="Q47" s="2883">
        <f t="shared" si="11"/>
        <v>111</v>
      </c>
      <c r="R47" s="1695" t="s">
        <v>25</v>
      </c>
      <c r="S47" s="1696">
        <f t="shared" si="12"/>
        <v>100</v>
      </c>
      <c r="T47" s="1695" t="s">
        <v>25</v>
      </c>
      <c r="U47" s="1696">
        <f t="shared" si="13"/>
        <v>100</v>
      </c>
      <c r="V47" s="1695" t="s">
        <v>25</v>
      </c>
      <c r="W47" s="1696">
        <f t="shared" si="14"/>
        <v>100</v>
      </c>
      <c r="X47" s="2044"/>
      <c r="Y47" s="3659"/>
      <c r="Z47" s="2048">
        <f t="shared" si="15"/>
        <v>111</v>
      </c>
      <c r="AA47" s="2039">
        <f t="shared" si="3"/>
        <v>1</v>
      </c>
      <c r="AB47" s="2039">
        <f t="shared" si="4"/>
        <v>1</v>
      </c>
      <c r="AC47" s="2039">
        <f t="shared" si="5"/>
        <v>1</v>
      </c>
    </row>
    <row r="48" spans="1:29" ht="15">
      <c r="A48" s="1751" t="s">
        <v>2231</v>
      </c>
      <c r="B48" s="1752"/>
      <c r="C48" s="1753" t="s">
        <v>1</v>
      </c>
      <c r="D48" s="1754"/>
      <c r="E48" s="1755">
        <v>30000</v>
      </c>
      <c r="F48" s="1756"/>
      <c r="G48" s="1757">
        <v>31800</v>
      </c>
      <c r="H48" s="1758"/>
      <c r="I48" s="1755">
        <v>32000</v>
      </c>
      <c r="J48" s="1758"/>
      <c r="K48" s="1983"/>
      <c r="L48" s="2970"/>
      <c r="M48" s="2965"/>
      <c r="N48" s="2965"/>
      <c r="O48" s="2965"/>
      <c r="P48" s="3627" t="str">
        <f>A48</f>
        <v>成交单价（元/平方米）</v>
      </c>
      <c r="Q48" s="3627"/>
      <c r="R48" s="3660">
        <f>E48</f>
        <v>30000</v>
      </c>
      <c r="S48" s="3660"/>
      <c r="T48" s="3660">
        <f>G48</f>
        <v>31800</v>
      </c>
      <c r="U48" s="3660"/>
      <c r="V48" s="3660">
        <f>I48</f>
        <v>32000</v>
      </c>
      <c r="W48" s="3660"/>
      <c r="X48" s="1761"/>
      <c r="Y48" s="2043"/>
      <c r="Z48" s="1761"/>
      <c r="AA48" s="1761"/>
      <c r="AB48" s="1761"/>
      <c r="AC48" s="1761"/>
    </row>
    <row r="49" spans="1:29" ht="15.75" thickBot="1">
      <c r="A49" s="1763" t="s">
        <v>2314</v>
      </c>
      <c r="B49" s="1764"/>
      <c r="C49" s="1765">
        <f>R50</f>
        <v>31287</v>
      </c>
      <c r="D49" s="1766" t="s">
        <v>2688</v>
      </c>
      <c r="E49" s="1767">
        <f>R49</f>
        <v>29412</v>
      </c>
      <c r="F49" s="1768"/>
      <c r="G49" s="1765">
        <f>T49</f>
        <v>32449</v>
      </c>
      <c r="H49" s="1768"/>
      <c r="I49" s="1767">
        <f>V49</f>
        <v>32000</v>
      </c>
      <c r="J49" s="1768"/>
      <c r="K49" s="2480">
        <f>F49+H49+J49</f>
        <v>0</v>
      </c>
      <c r="L49" s="2970"/>
      <c r="M49" s="2965"/>
      <c r="N49" s="2965"/>
      <c r="O49" s="2965"/>
      <c r="P49" s="3627" t="str">
        <f>A49</f>
        <v>比较价值（元/平方米）</v>
      </c>
      <c r="Q49" s="3627"/>
      <c r="R49" s="3660">
        <f>IF(E1="售价",ROUND(PRODUCT(R48,AA7:AA47),0),ROUND(PRODUCT(R48,AA7:AA47),1))</f>
        <v>29412</v>
      </c>
      <c r="S49" s="3660"/>
      <c r="T49" s="3660">
        <f>IF(E1="售价",ROUND(PRODUCT(T48,AB7:AB47),0),ROUND(PRODUCT(T48,AB7:AB47),1))</f>
        <v>32449</v>
      </c>
      <c r="U49" s="3660"/>
      <c r="V49" s="3660">
        <f>IF(E1="售价",ROUND(PRODUCT(V48,AC7:AC47),0),ROUND(PRODUCT(V48,AC7:AC47),1))</f>
        <v>32000</v>
      </c>
      <c r="W49" s="3660"/>
      <c r="X49" s="1761"/>
      <c r="Y49" s="1761"/>
      <c r="Z49" s="1761"/>
      <c r="AA49" s="1761"/>
      <c r="AB49" s="1761"/>
      <c r="AC49" s="1761"/>
    </row>
    <row r="50" spans="1:29" ht="15.75" thickBot="1">
      <c r="A50" s="1769" t="s">
        <v>2337</v>
      </c>
      <c r="B50" s="1770"/>
      <c r="C50" s="1772">
        <f>R50</f>
        <v>31287</v>
      </c>
      <c r="D50" s="1772"/>
      <c r="E50" s="1772"/>
      <c r="F50" s="1772"/>
      <c r="G50" s="1772"/>
      <c r="H50" s="1772"/>
      <c r="I50" s="1772"/>
      <c r="J50" s="1772"/>
      <c r="K50" s="1988"/>
      <c r="L50" s="2970"/>
      <c r="M50" s="2965"/>
      <c r="N50" s="2965"/>
      <c r="O50" s="2965"/>
      <c r="P50" s="3661" t="str">
        <f>A50</f>
        <v>估价对象XX用房的比较价值（楼面单价，元/平方米）</v>
      </c>
      <c r="Q50" s="3662"/>
      <c r="R50" s="3663">
        <f>IF(E1="售价",ROUND(IF(D49="简单平均",AVERAGE(R49:V49),R49*F49+T49*H49+V49*J49),0),ROUND(IF(D49="简单平均",AVERAGE(R49:V49),R49*F49+T49*H49+V49*J49),1))</f>
        <v>31287</v>
      </c>
      <c r="S50" s="3663"/>
      <c r="T50" s="3663"/>
      <c r="U50" s="3663"/>
      <c r="V50" s="3663"/>
      <c r="W50" s="3663"/>
      <c r="X50" s="1761"/>
      <c r="Y50" s="1761"/>
      <c r="Z50" s="1761"/>
      <c r="AA50" s="1761"/>
      <c r="AB50" s="1761"/>
      <c r="AC50" s="1761"/>
    </row>
    <row r="51" spans="1:29">
      <c r="G51" s="2974"/>
    </row>
    <row r="53" spans="1:29" ht="13.5" customHeight="1">
      <c r="C53" s="383" t="s">
        <v>2316</v>
      </c>
      <c r="D53" s="1777"/>
      <c r="E53" s="1778">
        <f>IF(E48&lt;E49,E49/E48-1,E48/E49-1)</f>
        <v>1.9991840065279431E-2</v>
      </c>
      <c r="F53" s="1779" t="str">
        <f>IF(OR(E53&gt;=0.3,E53&lt;=-0.3),"超过30%","")</f>
        <v/>
      </c>
      <c r="G53" s="1778">
        <f>IF(G48&lt;G49,G49/G48-1,G48/G49-1)</f>
        <v>2.0408805031446597E-2</v>
      </c>
      <c r="H53" s="1779" t="str">
        <f>IF(OR(G53&gt;=0.3,G53&lt;=-0.3),"超过30%","")</f>
        <v/>
      </c>
      <c r="I53" s="1778">
        <f>IF(I48&lt;I49,I49/I48-1,I48/I49-1)</f>
        <v>0</v>
      </c>
      <c r="J53" s="1779" t="str">
        <f>IF(OR(I53&gt;=0.3,I53&lt;=-0.3),"超过30%","")</f>
        <v/>
      </c>
    </row>
    <row r="54" spans="1:29" ht="13.5" customHeight="1">
      <c r="C54" s="383" t="s">
        <v>2317</v>
      </c>
      <c r="D54" s="1780"/>
      <c r="E54" s="1778">
        <f>IF(E49&lt;G49,G49/E49-1,E49/G49-1)</f>
        <v>0.10325717394260847</v>
      </c>
      <c r="F54" s="1779" t="str">
        <f>IF(OR(E54&gt;=0.2,E54&lt;=-0.2),"超过20%","")</f>
        <v/>
      </c>
      <c r="G54" s="1778">
        <f>IF(G49&lt;I49,I49/G49-1,G49/I49-1)</f>
        <v>1.403124999999994E-2</v>
      </c>
      <c r="H54" s="1779" t="str">
        <f>IF(OR(G54&gt;=0.2,G54&lt;=-0.2),"超过20%","")</f>
        <v/>
      </c>
      <c r="I54" s="1778">
        <f>IF(I49&lt;E49,E49/I49-1,I49/E49-1)</f>
        <v>8.7991296069631408E-2</v>
      </c>
      <c r="J54" s="1779" t="str">
        <f>IF(OR(I54&gt;=0.2,I54&lt;=-0.2),"超过20%","")</f>
        <v/>
      </c>
    </row>
    <row r="55" spans="1:29" s="1783" customFormat="1" ht="13.5" customHeight="1">
      <c r="C55" s="383" t="s">
        <v>2318</v>
      </c>
      <c r="D55" s="1780"/>
      <c r="E55" s="1778">
        <f>IF(E48&lt;G48,G48/E48-1,E48/G48-1)</f>
        <v>6.0000000000000053E-2</v>
      </c>
      <c r="F55" s="1779" t="str">
        <f>IF(OR(E55&gt;=0.3,E55&lt;=-0.3),"超过30%","")</f>
        <v/>
      </c>
      <c r="G55" s="1778">
        <f>IF(G48&lt;I48,I48/G48-1,G48/I48-1)</f>
        <v>6.2893081761006275E-3</v>
      </c>
      <c r="H55" s="1779" t="str">
        <f>IF(OR(G55&gt;=0.3,G55&lt;=-0.3),"超过30%","")</f>
        <v/>
      </c>
      <c r="I55" s="1778">
        <f>IF(I48&lt;E48,E48/I48-1,I48/E48-1)</f>
        <v>6.6666666666666652E-2</v>
      </c>
      <c r="J55" s="1779" t="str">
        <f>IF(OR(I55&gt;=0.3,I55&lt;=-0.3),"超过30%","")</f>
        <v/>
      </c>
      <c r="K55" s="2977"/>
      <c r="L55" s="2971"/>
    </row>
    <row r="56" spans="1:29" s="1783" customFormat="1">
      <c r="B56" s="2975"/>
      <c r="C56" s="2976"/>
      <c r="K56" s="2977"/>
      <c r="L56" s="2971"/>
    </row>
    <row r="57" spans="1:29">
      <c r="B57" s="2975"/>
      <c r="C57" s="2976"/>
    </row>
    <row r="58" spans="1:29" ht="21.75" thickBot="1">
      <c r="A58" s="1786" t="s">
        <v>2319</v>
      </c>
      <c r="B58" s="1761"/>
      <c r="C58" s="1787"/>
      <c r="D58" s="1787"/>
      <c r="E58" s="1787"/>
      <c r="F58" s="1787"/>
      <c r="G58" s="1787"/>
      <c r="H58" s="1787"/>
      <c r="I58" s="1787"/>
      <c r="J58" s="1787"/>
      <c r="K58" s="1788"/>
      <c r="L58" s="1789"/>
      <c r="M58" s="1787"/>
      <c r="N58" s="2973"/>
      <c r="O58" s="2973"/>
      <c r="P58" s="2015"/>
      <c r="Q58" s="1791"/>
    </row>
    <row r="59" spans="1:29" s="1797" customFormat="1" ht="15">
      <c r="A59" s="1792" t="s">
        <v>2201</v>
      </c>
      <c r="B59" s="1793"/>
      <c r="C59" s="1794" t="str">
        <f>YEAR(C7)&amp;"-"&amp;MONTH(C7)</f>
        <v>2021-12</v>
      </c>
      <c r="D59" s="1795">
        <f>EDATE(C59,-1)</f>
        <v>44501</v>
      </c>
      <c r="E59" s="1795">
        <f t="shared" ref="E59:O59" si="16">EDATE(D59,-1)</f>
        <v>44470</v>
      </c>
      <c r="F59" s="1795">
        <f t="shared" si="16"/>
        <v>44440</v>
      </c>
      <c r="G59" s="1795">
        <f t="shared" si="16"/>
        <v>44409</v>
      </c>
      <c r="H59" s="1795">
        <f t="shared" si="16"/>
        <v>44378</v>
      </c>
      <c r="I59" s="1795">
        <f t="shared" si="16"/>
        <v>44348</v>
      </c>
      <c r="J59" s="1795">
        <f t="shared" si="16"/>
        <v>44317</v>
      </c>
      <c r="K59" s="1795">
        <f t="shared" si="16"/>
        <v>44287</v>
      </c>
      <c r="L59" s="1795">
        <f t="shared" si="16"/>
        <v>44256</v>
      </c>
      <c r="M59" s="1795">
        <f t="shared" si="16"/>
        <v>44228</v>
      </c>
      <c r="N59" s="1795">
        <f t="shared" si="16"/>
        <v>44197</v>
      </c>
      <c r="O59" s="1795">
        <f t="shared" si="16"/>
        <v>44166</v>
      </c>
      <c r="P59" s="2473"/>
    </row>
    <row r="60" spans="1:29" s="1654" customFormat="1" ht="15">
      <c r="A60" s="1798"/>
      <c r="B60" s="1799"/>
      <c r="C60" s="1800">
        <v>100</v>
      </c>
      <c r="D60" s="1801"/>
      <c r="E60" s="1801"/>
      <c r="F60" s="1801"/>
      <c r="G60" s="1801"/>
      <c r="H60" s="1801"/>
      <c r="I60" s="1801"/>
      <c r="J60" s="1801"/>
      <c r="K60" s="1801"/>
      <c r="L60" s="1801"/>
      <c r="M60" s="1802"/>
      <c r="N60" s="1801"/>
      <c r="O60" s="1815"/>
      <c r="P60" s="1791"/>
    </row>
    <row r="61" spans="1:29" s="1654" customFormat="1" ht="15.75" thickBot="1">
      <c r="A61" s="1804" t="s">
        <v>2239</v>
      </c>
      <c r="B61" s="1805"/>
      <c r="C61" s="1806"/>
      <c r="D61" s="1807"/>
      <c r="E61" s="1807"/>
      <c r="F61" s="1807"/>
      <c r="G61" s="1807"/>
      <c r="H61" s="1807"/>
      <c r="I61" s="1807"/>
      <c r="J61" s="1807"/>
      <c r="K61" s="1807"/>
      <c r="L61" s="1807"/>
      <c r="M61" s="1808"/>
      <c r="N61" s="1807"/>
      <c r="O61" s="2474"/>
      <c r="P61" s="1791"/>
      <c r="Q61" s="1791"/>
    </row>
    <row r="62" spans="1:29" s="1654" customFormat="1" ht="15">
      <c r="A62" s="1809" t="s">
        <v>2203</v>
      </c>
      <c r="B62" s="1799"/>
      <c r="C62" s="1810" t="s">
        <v>2204</v>
      </c>
      <c r="D62" s="409"/>
      <c r="E62" s="409"/>
      <c r="F62" s="409"/>
      <c r="G62" s="409"/>
      <c r="H62" s="409"/>
      <c r="I62" s="409"/>
      <c r="J62" s="409"/>
      <c r="K62" s="409"/>
      <c r="L62" s="409"/>
      <c r="M62" s="1811"/>
      <c r="N62" s="2982"/>
      <c r="O62" s="2982"/>
      <c r="P62" s="2026"/>
      <c r="Q62" s="1791"/>
    </row>
    <row r="63" spans="1:29" s="1654" customFormat="1" ht="15.75" thickBot="1">
      <c r="A63" s="1809"/>
      <c r="B63" s="1799"/>
      <c r="C63" s="1814">
        <v>100</v>
      </c>
      <c r="D63" s="1801"/>
      <c r="E63" s="1801"/>
      <c r="F63" s="1801"/>
      <c r="G63" s="1801"/>
      <c r="H63" s="1801"/>
      <c r="I63" s="1801"/>
      <c r="J63" s="1801"/>
      <c r="K63" s="1801"/>
      <c r="L63" s="1801"/>
      <c r="M63" s="1815"/>
      <c r="N63" s="2982"/>
      <c r="O63" s="2982"/>
      <c r="P63" s="1791"/>
      <c r="Q63" s="1791"/>
    </row>
    <row r="64" spans="1:29">
      <c r="A64" s="1816" t="s">
        <v>2242</v>
      </c>
      <c r="B64" s="1817" t="s">
        <v>2207</v>
      </c>
      <c r="C64" s="1818">
        <f>C9</f>
        <v>0</v>
      </c>
      <c r="D64" s="1819"/>
      <c r="E64" s="1819"/>
      <c r="F64" s="1819"/>
      <c r="G64" s="1819"/>
      <c r="H64" s="1819"/>
      <c r="I64" s="1819"/>
      <c r="J64" s="1819"/>
      <c r="K64" s="417"/>
      <c r="L64" s="417"/>
      <c r="M64" s="1820"/>
      <c r="N64" s="2983"/>
      <c r="O64" s="2983"/>
      <c r="P64" s="2027"/>
      <c r="Q64" s="1791"/>
    </row>
    <row r="65" spans="1:17" ht="15.75" thickBot="1">
      <c r="A65" s="1823"/>
      <c r="B65" s="1824"/>
      <c r="C65" s="1825">
        <v>100</v>
      </c>
      <c r="D65" s="1825"/>
      <c r="E65" s="1825"/>
      <c r="F65" s="1825"/>
      <c r="G65" s="1825"/>
      <c r="H65" s="1825"/>
      <c r="I65" s="1825"/>
      <c r="J65" s="1825"/>
      <c r="K65" s="1825"/>
      <c r="L65" s="1825"/>
      <c r="M65" s="1826"/>
      <c r="N65" s="2984"/>
      <c r="O65" s="2984"/>
      <c r="P65" s="2027"/>
      <c r="Q65" s="1791"/>
    </row>
    <row r="66" spans="1:17" ht="27.75" thickTop="1">
      <c r="A66" s="1823"/>
      <c r="B66" s="1828" t="s">
        <v>2210</v>
      </c>
      <c r="C66" s="1829" t="s">
        <v>2243</v>
      </c>
      <c r="D66" s="1829" t="s">
        <v>2244</v>
      </c>
      <c r="E66" s="1829" t="s">
        <v>2245</v>
      </c>
      <c r="F66" s="1829" t="s">
        <v>2246</v>
      </c>
      <c r="G66" s="1829" t="s">
        <v>2247</v>
      </c>
      <c r="H66" s="1829" t="s">
        <v>2248</v>
      </c>
      <c r="I66" s="1829" t="s">
        <v>2249</v>
      </c>
      <c r="J66" s="1829"/>
      <c r="K66" s="428"/>
      <c r="L66" s="428"/>
      <c r="M66" s="1830"/>
      <c r="N66" s="2983"/>
      <c r="O66" s="2983"/>
      <c r="P66" s="2027"/>
      <c r="Q66" s="1791"/>
    </row>
    <row r="67" spans="1:17" ht="15.75" thickBot="1">
      <c r="A67" s="1823"/>
      <c r="B67" s="1831"/>
      <c r="C67" s="1832" t="s">
        <v>36</v>
      </c>
      <c r="D67" s="1832" t="s">
        <v>37</v>
      </c>
      <c r="E67" s="1832">
        <v>100</v>
      </c>
      <c r="F67" s="1832">
        <f>E67-$K10</f>
        <v>100</v>
      </c>
      <c r="G67" s="1832">
        <f>F67-$K10</f>
        <v>100</v>
      </c>
      <c r="H67" s="1832">
        <f>G67-$K10</f>
        <v>100</v>
      </c>
      <c r="I67" s="1832">
        <f>H67-$K10</f>
        <v>100</v>
      </c>
      <c r="J67" s="1832"/>
      <c r="K67" s="1832"/>
      <c r="L67" s="1832"/>
      <c r="M67" s="1833"/>
      <c r="N67" s="2984"/>
      <c r="O67" s="2984"/>
      <c r="P67" s="2027"/>
      <c r="Q67" s="1791"/>
    </row>
    <row r="68" spans="1:17" ht="15.75" thickTop="1">
      <c r="A68" s="1823"/>
      <c r="B68" s="1834" t="s">
        <v>2211</v>
      </c>
      <c r="C68" s="1835" t="str">
        <f>C69&amp;"（含）"&amp;"-"&amp;D69</f>
        <v>0（含）-1</v>
      </c>
      <c r="D68" s="1835" t="str">
        <f t="shared" ref="D68:L68" si="17">D69&amp;"（含）"&amp;"-"&amp;E69</f>
        <v>1（含）-2</v>
      </c>
      <c r="E68" s="1835" t="str">
        <f t="shared" si="17"/>
        <v>2（含）-3</v>
      </c>
      <c r="F68" s="1835" t="str">
        <f t="shared" si="17"/>
        <v>3（含）-4</v>
      </c>
      <c r="G68" s="1835" t="str">
        <f t="shared" si="17"/>
        <v>4（含）-</v>
      </c>
      <c r="H68" s="1835" t="str">
        <f t="shared" si="17"/>
        <v>（含）-</v>
      </c>
      <c r="I68" s="1835" t="str">
        <f t="shared" si="17"/>
        <v>（含）-</v>
      </c>
      <c r="J68" s="1835" t="str">
        <f t="shared" si="17"/>
        <v>（含）-</v>
      </c>
      <c r="K68" s="1835" t="str">
        <f t="shared" si="17"/>
        <v>（含）-</v>
      </c>
      <c r="L68" s="1835" t="str">
        <f t="shared" si="17"/>
        <v>（含）-</v>
      </c>
      <c r="M68" s="1701" t="str">
        <f>M69&amp;"（含）"&amp;"-"&amp;P69</f>
        <v>（含）-</v>
      </c>
      <c r="N68" s="2984"/>
      <c r="O68" s="2984"/>
      <c r="P68" s="2027"/>
      <c r="Q68" s="1791"/>
    </row>
    <row r="69" spans="1:17" ht="15">
      <c r="A69" s="1823"/>
      <c r="B69" s="1836"/>
      <c r="C69" s="1837">
        <v>0</v>
      </c>
      <c r="D69" s="1837">
        <v>1</v>
      </c>
      <c r="E69" s="1837">
        <v>2</v>
      </c>
      <c r="F69" s="1837">
        <v>3</v>
      </c>
      <c r="G69" s="1837">
        <v>4</v>
      </c>
      <c r="H69" s="1837"/>
      <c r="I69" s="1837"/>
      <c r="J69" s="1837"/>
      <c r="K69" s="438"/>
      <c r="L69" s="438"/>
      <c r="M69" s="1838"/>
      <c r="N69" s="2983"/>
      <c r="O69" s="2983"/>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4"/>
      <c r="O70" s="2984"/>
      <c r="P70" s="2027"/>
      <c r="Q70" s="1791"/>
    </row>
    <row r="71" spans="1:17" s="1741" customFormat="1" ht="15.75" thickTop="1">
      <c r="A71" s="1839"/>
      <c r="B71" s="1828">
        <f>B12</f>
        <v>111</v>
      </c>
      <c r="C71" s="468"/>
      <c r="D71" s="468"/>
      <c r="E71" s="468"/>
      <c r="F71" s="468"/>
      <c r="G71" s="468"/>
      <c r="H71" s="443"/>
      <c r="I71" s="443"/>
      <c r="J71" s="443"/>
      <c r="K71" s="443"/>
      <c r="L71" s="443"/>
      <c r="M71" s="1840"/>
      <c r="N71" s="2985"/>
      <c r="O71" s="2985"/>
      <c r="P71" s="2028"/>
      <c r="Q71" s="1843"/>
    </row>
    <row r="72" spans="1:17" s="1741" customFormat="1" ht="15.75" thickBot="1">
      <c r="A72" s="1839"/>
      <c r="B72" s="1831"/>
      <c r="C72" s="1844"/>
      <c r="D72" s="1825"/>
      <c r="E72" s="1825"/>
      <c r="F72" s="1825"/>
      <c r="G72" s="1825"/>
      <c r="H72" s="1825"/>
      <c r="I72" s="1825"/>
      <c r="J72" s="1825"/>
      <c r="K72" s="1825"/>
      <c r="L72" s="1825"/>
      <c r="M72" s="1826"/>
      <c r="N72" s="2984"/>
      <c r="O72" s="2984"/>
      <c r="P72" s="2028"/>
      <c r="Q72" s="1843"/>
    </row>
    <row r="73" spans="1:17" s="1741" customFormat="1" ht="15.75" thickTop="1">
      <c r="A73" s="1839"/>
      <c r="B73" s="1828">
        <f>B13</f>
        <v>111</v>
      </c>
      <c r="C73" s="468"/>
      <c r="D73" s="468"/>
      <c r="E73" s="468"/>
      <c r="F73" s="468"/>
      <c r="G73" s="468"/>
      <c r="H73" s="443"/>
      <c r="I73" s="443"/>
      <c r="J73" s="443"/>
      <c r="K73" s="443"/>
      <c r="L73" s="443"/>
      <c r="M73" s="1840"/>
      <c r="N73" s="2985"/>
      <c r="O73" s="2985"/>
      <c r="P73" s="2029"/>
      <c r="Q73" s="1846"/>
    </row>
    <row r="74" spans="1:17" s="1741" customFormat="1" ht="15.75" thickBot="1">
      <c r="A74" s="1839"/>
      <c r="B74" s="1831"/>
      <c r="C74" s="1844"/>
      <c r="D74" s="1844"/>
      <c r="E74" s="1844"/>
      <c r="F74" s="1844"/>
      <c r="G74" s="1844"/>
      <c r="H74" s="1847"/>
      <c r="I74" s="1847"/>
      <c r="J74" s="1847"/>
      <c r="K74" s="1847"/>
      <c r="L74" s="1847"/>
      <c r="M74" s="1848"/>
      <c r="N74" s="2985"/>
      <c r="O74" s="2985"/>
      <c r="P74" s="2028"/>
      <c r="Q74" s="1843"/>
    </row>
    <row r="75" spans="1:17" s="1741" customFormat="1" ht="15.75" thickTop="1">
      <c r="A75" s="1839"/>
      <c r="B75" s="1834">
        <f>B14</f>
        <v>111</v>
      </c>
      <c r="C75" s="409"/>
      <c r="D75" s="409"/>
      <c r="E75" s="409"/>
      <c r="F75" s="409"/>
      <c r="G75" s="409"/>
      <c r="H75" s="453"/>
      <c r="I75" s="453"/>
      <c r="J75" s="453"/>
      <c r="K75" s="453"/>
      <c r="L75" s="453"/>
      <c r="M75" s="1849"/>
      <c r="N75" s="2985"/>
      <c r="O75" s="2985"/>
      <c r="P75" s="2028"/>
      <c r="Q75" s="1843"/>
    </row>
    <row r="76" spans="1:17" s="1741" customFormat="1" ht="15.75" thickBot="1">
      <c r="A76" s="1850"/>
      <c r="B76" s="1851"/>
      <c r="C76" s="1852"/>
      <c r="D76" s="1852"/>
      <c r="E76" s="1852"/>
      <c r="F76" s="1852"/>
      <c r="G76" s="1852"/>
      <c r="H76" s="1853"/>
      <c r="I76" s="1853"/>
      <c r="J76" s="1853"/>
      <c r="K76" s="1853"/>
      <c r="L76" s="1853"/>
      <c r="M76" s="1854"/>
      <c r="N76" s="2985"/>
      <c r="O76" s="2985"/>
      <c r="P76" s="2028"/>
      <c r="Q76" s="1843"/>
    </row>
    <row r="77" spans="1:17">
      <c r="A77" s="1816" t="s">
        <v>2212</v>
      </c>
      <c r="B77" s="1817" t="s">
        <v>2338</v>
      </c>
      <c r="C77" s="1855" t="s">
        <v>2251</v>
      </c>
      <c r="D77" s="1855" t="s">
        <v>2252</v>
      </c>
      <c r="E77" s="1855" t="s">
        <v>2253</v>
      </c>
      <c r="F77" s="1855" t="s">
        <v>2254</v>
      </c>
      <c r="G77" s="1855" t="s">
        <v>2255</v>
      </c>
      <c r="H77" s="1818"/>
      <c r="I77" s="1818"/>
      <c r="J77" s="1818"/>
      <c r="K77" s="463"/>
      <c r="L77" s="463"/>
      <c r="M77" s="1856"/>
      <c r="N77" s="2983"/>
      <c r="O77" s="2983"/>
      <c r="P77" s="2027"/>
      <c r="Q77" s="1791"/>
    </row>
    <row r="78" spans="1:17" ht="15.75" thickBot="1">
      <c r="A78" s="1823"/>
      <c r="B78" s="1831"/>
      <c r="C78" s="1832">
        <v>100</v>
      </c>
      <c r="D78" s="1832">
        <f>C78-$K15</f>
        <v>100</v>
      </c>
      <c r="E78" s="1832">
        <f>D78-$K15</f>
        <v>100</v>
      </c>
      <c r="F78" s="1832">
        <f>E78-$K15</f>
        <v>100</v>
      </c>
      <c r="G78" s="1832">
        <f>F78-$K15</f>
        <v>100</v>
      </c>
      <c r="H78" s="1832"/>
      <c r="I78" s="1832"/>
      <c r="J78" s="1832"/>
      <c r="K78" s="1832"/>
      <c r="L78" s="1832"/>
      <c r="M78" s="1833"/>
      <c r="N78" s="2984"/>
      <c r="O78" s="2984"/>
      <c r="P78" s="2027"/>
      <c r="Q78" s="1791"/>
    </row>
    <row r="79" spans="1:17" ht="15.75" thickTop="1">
      <c r="A79" s="1823"/>
      <c r="B79" s="1828" t="s">
        <v>2256</v>
      </c>
      <c r="C79" s="579" t="s">
        <v>2251</v>
      </c>
      <c r="D79" s="579" t="s">
        <v>2252</v>
      </c>
      <c r="E79" s="579" t="s">
        <v>2253</v>
      </c>
      <c r="F79" s="579" t="s">
        <v>2254</v>
      </c>
      <c r="G79" s="579" t="s">
        <v>2255</v>
      </c>
      <c r="H79" s="1829"/>
      <c r="I79" s="1829"/>
      <c r="J79" s="1829"/>
      <c r="K79" s="428"/>
      <c r="L79" s="428"/>
      <c r="M79" s="1830"/>
      <c r="N79" s="2983"/>
      <c r="O79" s="2983"/>
      <c r="P79" s="2027"/>
      <c r="Q79" s="1791"/>
    </row>
    <row r="80" spans="1:17" ht="15.75" thickBot="1">
      <c r="A80" s="1823"/>
      <c r="B80" s="1831"/>
      <c r="C80" s="1832">
        <v>100</v>
      </c>
      <c r="D80" s="1832">
        <f>C80-$K17</f>
        <v>100</v>
      </c>
      <c r="E80" s="1832">
        <f>D80-$K17</f>
        <v>100</v>
      </c>
      <c r="F80" s="1832">
        <f>E80-$K17</f>
        <v>100</v>
      </c>
      <c r="G80" s="1832">
        <f>F80-$K17</f>
        <v>100</v>
      </c>
      <c r="H80" s="1832"/>
      <c r="I80" s="1832"/>
      <c r="J80" s="1832"/>
      <c r="K80" s="1832"/>
      <c r="L80" s="1832"/>
      <c r="M80" s="1833"/>
      <c r="N80" s="2984"/>
      <c r="O80" s="2984"/>
      <c r="P80" s="2027"/>
      <c r="Q80" s="1791"/>
    </row>
    <row r="81" spans="1:17" ht="15.75" thickTop="1">
      <c r="A81" s="1823"/>
      <c r="B81" s="1828" t="s">
        <v>2257</v>
      </c>
      <c r="C81" s="579" t="s">
        <v>2251</v>
      </c>
      <c r="D81" s="579" t="s">
        <v>2252</v>
      </c>
      <c r="E81" s="579" t="s">
        <v>2253</v>
      </c>
      <c r="F81" s="579" t="s">
        <v>2254</v>
      </c>
      <c r="G81" s="579" t="s">
        <v>2255</v>
      </c>
      <c r="H81" s="1829"/>
      <c r="I81" s="1829"/>
      <c r="J81" s="1829"/>
      <c r="K81" s="428"/>
      <c r="L81" s="428"/>
      <c r="M81" s="1830"/>
      <c r="N81" s="2983"/>
      <c r="O81" s="2983"/>
      <c r="P81" s="2027"/>
      <c r="Q81" s="1791"/>
    </row>
    <row r="82" spans="1:17" ht="15.75" thickBot="1">
      <c r="A82" s="1823"/>
      <c r="B82" s="1831"/>
      <c r="C82" s="1832">
        <v>100</v>
      </c>
      <c r="D82" s="1832">
        <f>C82-$K19</f>
        <v>100</v>
      </c>
      <c r="E82" s="1832">
        <f>D82-$K19</f>
        <v>100</v>
      </c>
      <c r="F82" s="1832">
        <f>E82-$K19</f>
        <v>100</v>
      </c>
      <c r="G82" s="1832">
        <f>F82-$K19</f>
        <v>100</v>
      </c>
      <c r="H82" s="1832"/>
      <c r="I82" s="1832"/>
      <c r="J82" s="1832"/>
      <c r="K82" s="1832"/>
      <c r="L82" s="1832"/>
      <c r="M82" s="1833"/>
      <c r="N82" s="2984"/>
      <c r="O82" s="2984"/>
      <c r="P82" s="2027"/>
      <c r="Q82" s="1791"/>
    </row>
    <row r="83" spans="1:17" ht="15.75" thickTop="1">
      <c r="A83" s="1823"/>
      <c r="B83" s="1834" t="s">
        <v>2300</v>
      </c>
      <c r="C83" s="1829" t="s">
        <v>2258</v>
      </c>
      <c r="D83" s="1829" t="s">
        <v>2259</v>
      </c>
      <c r="E83" s="1829" t="s">
        <v>2260</v>
      </c>
      <c r="F83" s="1829" t="s">
        <v>2261</v>
      </c>
      <c r="G83" s="1829" t="s">
        <v>2262</v>
      </c>
      <c r="H83" s="1829"/>
      <c r="I83" s="1829"/>
      <c r="J83" s="1829"/>
      <c r="K83" s="1829"/>
      <c r="L83" s="1829"/>
      <c r="M83" s="1857"/>
      <c r="N83" s="2984"/>
      <c r="O83" s="2984"/>
      <c r="P83" s="2027"/>
      <c r="Q83" s="1791"/>
    </row>
    <row r="84" spans="1:17" ht="15.75" thickBot="1">
      <c r="A84" s="1823"/>
      <c r="B84" s="1834"/>
      <c r="C84" s="1832">
        <v>100</v>
      </c>
      <c r="D84" s="1832">
        <f>C84-$K21</f>
        <v>100</v>
      </c>
      <c r="E84" s="1832">
        <f>D84-$K21</f>
        <v>100</v>
      </c>
      <c r="F84" s="1832">
        <f>E84-$K21</f>
        <v>100</v>
      </c>
      <c r="G84" s="1832">
        <f>F84-$K21</f>
        <v>100</v>
      </c>
      <c r="H84" s="1858"/>
      <c r="I84" s="1858"/>
      <c r="J84" s="1858"/>
      <c r="K84" s="1858"/>
      <c r="L84" s="1858"/>
      <c r="M84" s="1705"/>
      <c r="N84" s="2984"/>
      <c r="O84" s="2984"/>
      <c r="P84" s="2027"/>
      <c r="Q84" s="1791"/>
    </row>
    <row r="85" spans="1:17" ht="15.75" thickTop="1">
      <c r="A85" s="1823"/>
      <c r="B85" s="1828" t="s">
        <v>2339</v>
      </c>
      <c r="C85" s="579" t="s">
        <v>2251</v>
      </c>
      <c r="D85" s="579" t="s">
        <v>2252</v>
      </c>
      <c r="E85" s="579" t="s">
        <v>2253</v>
      </c>
      <c r="F85" s="579" t="s">
        <v>2254</v>
      </c>
      <c r="G85" s="579" t="s">
        <v>2255</v>
      </c>
      <c r="H85" s="1829"/>
      <c r="I85" s="1829"/>
      <c r="J85" s="1829"/>
      <c r="K85" s="428"/>
      <c r="L85" s="428"/>
      <c r="M85" s="1830"/>
      <c r="N85" s="2983"/>
      <c r="O85" s="2983"/>
      <c r="P85" s="2027"/>
      <c r="Q85" s="1791"/>
    </row>
    <row r="86" spans="1:17" ht="15.75" thickBot="1">
      <c r="A86" s="1823"/>
      <c r="B86" s="1831"/>
      <c r="C86" s="1832">
        <v>100</v>
      </c>
      <c r="D86" s="1832">
        <f>C86-$K23</f>
        <v>100</v>
      </c>
      <c r="E86" s="1832">
        <f>D86-$K23</f>
        <v>100</v>
      </c>
      <c r="F86" s="1832">
        <f>E86-$K23</f>
        <v>100</v>
      </c>
      <c r="G86" s="1832">
        <f>F86-$K23</f>
        <v>100</v>
      </c>
      <c r="H86" s="1832"/>
      <c r="I86" s="1832"/>
      <c r="J86" s="1832"/>
      <c r="K86" s="1832"/>
      <c r="L86" s="1832"/>
      <c r="M86" s="1833"/>
      <c r="N86" s="2984"/>
      <c r="O86" s="2984"/>
      <c r="P86" s="2027"/>
      <c r="Q86" s="1791"/>
    </row>
    <row r="87" spans="1:17" s="1654" customFormat="1" ht="27.75" thickTop="1">
      <c r="A87" s="1859"/>
      <c r="B87" s="1828" t="s">
        <v>2340</v>
      </c>
      <c r="C87" s="468"/>
      <c r="D87" s="468"/>
      <c r="E87" s="468"/>
      <c r="F87" s="468"/>
      <c r="G87" s="468"/>
      <c r="H87" s="468"/>
      <c r="I87" s="468"/>
      <c r="J87" s="468"/>
      <c r="K87" s="468"/>
      <c r="L87" s="468"/>
      <c r="M87" s="1860"/>
      <c r="N87" s="2982"/>
      <c r="O87" s="2982"/>
      <c r="P87" s="2027"/>
      <c r="Q87" s="1791"/>
    </row>
    <row r="88" spans="1:17" s="1654"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4"/>
      <c r="O88" s="2984"/>
      <c r="P88" s="2027"/>
      <c r="Q88" s="1791"/>
    </row>
    <row r="89" spans="1:17" s="1654" customFormat="1" ht="15.75" thickTop="1">
      <c r="A89" s="1859"/>
      <c r="B89" s="1828" t="str">
        <f>B27</f>
        <v>楼层</v>
      </c>
      <c r="C89" s="3317" t="s">
        <v>3009</v>
      </c>
      <c r="D89" s="3317" t="s">
        <v>3010</v>
      </c>
      <c r="E89" s="3317" t="s">
        <v>3008</v>
      </c>
      <c r="F89" s="1862"/>
      <c r="G89" s="468"/>
      <c r="H89" s="468"/>
      <c r="I89" s="468"/>
      <c r="J89" s="468"/>
      <c r="K89" s="468"/>
      <c r="L89" s="468"/>
      <c r="M89" s="1860"/>
      <c r="N89" s="2982"/>
      <c r="O89" s="2982"/>
      <c r="P89" s="2027"/>
      <c r="Q89" s="1791"/>
    </row>
    <row r="90" spans="1:17" s="1654" customFormat="1" ht="15.75" thickBot="1">
      <c r="A90" s="1859"/>
      <c r="B90" s="1831"/>
      <c r="C90" s="1861">
        <v>100</v>
      </c>
      <c r="D90" s="1832">
        <f>C90-$K27</f>
        <v>97</v>
      </c>
      <c r="E90" s="1832">
        <f t="shared" ref="E90:M90" si="20">D90-$K27</f>
        <v>94</v>
      </c>
      <c r="F90" s="1832">
        <f t="shared" si="20"/>
        <v>91</v>
      </c>
      <c r="G90" s="1832">
        <f t="shared" si="20"/>
        <v>88</v>
      </c>
      <c r="H90" s="1832">
        <f t="shared" si="20"/>
        <v>85</v>
      </c>
      <c r="I90" s="1832">
        <f t="shared" si="20"/>
        <v>82</v>
      </c>
      <c r="J90" s="1832">
        <f t="shared" si="20"/>
        <v>79</v>
      </c>
      <c r="K90" s="1832">
        <f t="shared" si="20"/>
        <v>76</v>
      </c>
      <c r="L90" s="1832">
        <f t="shared" si="20"/>
        <v>73</v>
      </c>
      <c r="M90" s="1832">
        <f t="shared" si="20"/>
        <v>70</v>
      </c>
      <c r="N90" s="2984"/>
      <c r="O90" s="2984"/>
      <c r="P90" s="2027"/>
      <c r="Q90" s="1791"/>
    </row>
    <row r="91" spans="1:17" s="1741" customFormat="1" ht="15.75" thickTop="1">
      <c r="A91" s="1839"/>
      <c r="B91" s="1828" t="str">
        <f>B28</f>
        <v>朝向</v>
      </c>
      <c r="C91" s="468"/>
      <c r="D91" s="468"/>
      <c r="E91" s="468"/>
      <c r="F91" s="468"/>
      <c r="G91" s="468"/>
      <c r="H91" s="443"/>
      <c r="I91" s="443"/>
      <c r="J91" s="443"/>
      <c r="K91" s="443"/>
      <c r="L91" s="443"/>
      <c r="M91" s="1840"/>
      <c r="N91" s="2985"/>
      <c r="O91" s="2985"/>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5"/>
      <c r="O92" s="2985"/>
      <c r="P92" s="2028"/>
      <c r="Q92" s="1843"/>
    </row>
    <row r="93" spans="1:17" ht="15.75" thickTop="1">
      <c r="A93" s="1823"/>
      <c r="B93" s="1828">
        <f>B29</f>
        <v>111</v>
      </c>
      <c r="C93" s="468"/>
      <c r="D93" s="468"/>
      <c r="E93" s="468"/>
      <c r="F93" s="468"/>
      <c r="G93" s="468"/>
      <c r="H93" s="468"/>
      <c r="I93" s="468"/>
      <c r="J93" s="468"/>
      <c r="K93" s="468"/>
      <c r="L93" s="468"/>
      <c r="M93" s="1860"/>
      <c r="N93" s="2983"/>
      <c r="O93" s="2983"/>
      <c r="P93" s="2027"/>
      <c r="Q93" s="1791"/>
    </row>
    <row r="94" spans="1:17" ht="15.75" thickBot="1">
      <c r="A94" s="1823"/>
      <c r="B94" s="1831"/>
      <c r="C94" s="1844"/>
      <c r="D94" s="1825"/>
      <c r="E94" s="1825"/>
      <c r="F94" s="1825"/>
      <c r="G94" s="1825"/>
      <c r="H94" s="1825"/>
      <c r="I94" s="1825"/>
      <c r="J94" s="1825"/>
      <c r="K94" s="1825"/>
      <c r="L94" s="1825"/>
      <c r="M94" s="1826"/>
      <c r="N94" s="2984"/>
      <c r="O94" s="2984"/>
      <c r="P94" s="2027"/>
      <c r="Q94" s="1791"/>
    </row>
    <row r="95" spans="1:17" ht="15.75" thickTop="1">
      <c r="A95" s="1823"/>
      <c r="B95" s="1828">
        <f>B30</f>
        <v>111</v>
      </c>
      <c r="C95" s="468"/>
      <c r="D95" s="468"/>
      <c r="E95" s="468"/>
      <c r="F95" s="468"/>
      <c r="G95" s="1547"/>
      <c r="H95" s="1547"/>
      <c r="I95" s="1547"/>
      <c r="J95" s="1547"/>
      <c r="K95" s="473"/>
      <c r="L95" s="473"/>
      <c r="M95" s="1863"/>
      <c r="N95" s="2983"/>
      <c r="O95" s="2983"/>
      <c r="P95" s="2027"/>
      <c r="Q95" s="1791"/>
    </row>
    <row r="96" spans="1:17" ht="15.75" thickBot="1">
      <c r="A96" s="1823"/>
      <c r="B96" s="1831"/>
      <c r="C96" s="1844"/>
      <c r="D96" s="1844"/>
      <c r="E96" s="1844"/>
      <c r="F96" s="1844"/>
      <c r="G96" s="1825"/>
      <c r="H96" s="1825"/>
      <c r="I96" s="1825"/>
      <c r="J96" s="1825"/>
      <c r="K96" s="1825"/>
      <c r="L96" s="1825"/>
      <c r="M96" s="1826"/>
      <c r="N96" s="2984"/>
      <c r="O96" s="2984"/>
      <c r="P96" s="2027"/>
      <c r="Q96" s="1791"/>
    </row>
    <row r="97" spans="1:17" ht="15.75" thickTop="1">
      <c r="A97" s="1823"/>
      <c r="B97" s="1828">
        <f>B31</f>
        <v>111</v>
      </c>
      <c r="C97" s="468"/>
      <c r="D97" s="468"/>
      <c r="E97" s="468"/>
      <c r="F97" s="468"/>
      <c r="G97" s="1547"/>
      <c r="H97" s="1547"/>
      <c r="I97" s="1547"/>
      <c r="J97" s="1547"/>
      <c r="K97" s="473"/>
      <c r="L97" s="473"/>
      <c r="M97" s="1863"/>
      <c r="N97" s="2983"/>
      <c r="O97" s="2983"/>
      <c r="P97" s="2027"/>
      <c r="Q97" s="1791"/>
    </row>
    <row r="98" spans="1:17" ht="15.75" thickBot="1">
      <c r="A98" s="1823"/>
      <c r="B98" s="1831"/>
      <c r="C98" s="1844"/>
      <c r="D98" s="1825"/>
      <c r="E98" s="1825"/>
      <c r="F98" s="1825"/>
      <c r="G98" s="1825"/>
      <c r="H98" s="1825"/>
      <c r="I98" s="1825"/>
      <c r="J98" s="1825"/>
      <c r="K98" s="1825"/>
      <c r="L98" s="1825"/>
      <c r="M98" s="1826"/>
      <c r="N98" s="2984"/>
      <c r="O98" s="2984"/>
      <c r="P98" s="2027"/>
      <c r="Q98" s="1791"/>
    </row>
    <row r="99" spans="1:17" ht="15.75" thickTop="1">
      <c r="A99" s="1823"/>
      <c r="B99" s="1834">
        <f>B32</f>
        <v>111</v>
      </c>
      <c r="C99" s="409"/>
      <c r="D99" s="409"/>
      <c r="E99" s="409"/>
      <c r="F99" s="409"/>
      <c r="G99" s="1864"/>
      <c r="H99" s="1864"/>
      <c r="I99" s="1864"/>
      <c r="J99" s="1864"/>
      <c r="K99" s="477"/>
      <c r="L99" s="477"/>
      <c r="M99" s="1865"/>
      <c r="N99" s="2983"/>
      <c r="O99" s="2983"/>
      <c r="P99" s="2027"/>
      <c r="Q99" s="1791"/>
    </row>
    <row r="100" spans="1:17" ht="15.75" thickBot="1">
      <c r="A100" s="1866"/>
      <c r="B100" s="1851"/>
      <c r="C100" s="1852"/>
      <c r="D100" s="1852"/>
      <c r="E100" s="1852"/>
      <c r="F100" s="1852"/>
      <c r="G100" s="1867"/>
      <c r="H100" s="1867"/>
      <c r="I100" s="1867"/>
      <c r="J100" s="1867"/>
      <c r="K100" s="1867"/>
      <c r="L100" s="1867"/>
      <c r="M100" s="1868"/>
      <c r="N100" s="2984"/>
      <c r="O100" s="2984"/>
      <c r="P100" s="2027"/>
      <c r="Q100" s="1791"/>
    </row>
    <row r="101" spans="1:17">
      <c r="A101" s="1816" t="s">
        <v>2217</v>
      </c>
      <c r="B101" s="1817" t="s">
        <v>2266</v>
      </c>
      <c r="C101" s="1819"/>
      <c r="D101" s="1819"/>
      <c r="E101" s="1819"/>
      <c r="F101" s="1819"/>
      <c r="G101" s="1819"/>
      <c r="H101" s="1819"/>
      <c r="I101" s="1819"/>
      <c r="J101" s="1819"/>
      <c r="K101" s="417"/>
      <c r="L101" s="417"/>
      <c r="M101" s="1820"/>
      <c r="N101" s="2983"/>
      <c r="O101" s="2983"/>
      <c r="P101" s="2027"/>
      <c r="Q101" s="1791"/>
    </row>
    <row r="102" spans="1:17" ht="15.75" thickBot="1">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4"/>
      <c r="O102" s="2984"/>
      <c r="P102" s="2027"/>
      <c r="Q102" s="1791"/>
    </row>
    <row r="103" spans="1:17" ht="15.75" thickTop="1">
      <c r="A103" s="1823"/>
      <c r="B103" s="1828" t="s">
        <v>2267</v>
      </c>
      <c r="C103" s="579" t="str">
        <f>C104&amp;"(含)"&amp;"-"&amp;D104</f>
        <v>0(含)-100</v>
      </c>
      <c r="D103" s="579" t="str">
        <f t="shared" ref="D103:L103" si="23">D104&amp;"(含)"&amp;"-"&amp;E104</f>
        <v>100(含)-200</v>
      </c>
      <c r="E103" s="579" t="str">
        <f t="shared" si="23"/>
        <v>200(含)-300</v>
      </c>
      <c r="F103" s="579" t="str">
        <f t="shared" si="23"/>
        <v>300(含)-400</v>
      </c>
      <c r="G103" s="579" t="str">
        <f t="shared" si="23"/>
        <v>400(含)-500</v>
      </c>
      <c r="H103" s="579" t="str">
        <f t="shared" si="23"/>
        <v>500(含)-</v>
      </c>
      <c r="I103" s="579" t="str">
        <f t="shared" si="23"/>
        <v>(含)-</v>
      </c>
      <c r="J103" s="579" t="str">
        <f t="shared" si="23"/>
        <v>(含)-</v>
      </c>
      <c r="K103" s="579" t="str">
        <f t="shared" si="23"/>
        <v>(含)-</v>
      </c>
      <c r="L103" s="579" t="str">
        <f t="shared" si="23"/>
        <v>(含)-</v>
      </c>
      <c r="M103" s="2030" t="str">
        <f>M104&amp;"(含)"&amp;"-"&amp;P104</f>
        <v>(含)-</v>
      </c>
      <c r="N103" s="2982"/>
      <c r="O103" s="2982"/>
      <c r="P103" s="2027"/>
      <c r="Q103" s="1791"/>
    </row>
    <row r="104" spans="1:17" s="1741" customFormat="1">
      <c r="A104" s="1869"/>
      <c r="B104" s="1870"/>
      <c r="C104" s="1871">
        <v>0</v>
      </c>
      <c r="D104" s="1871">
        <v>100</v>
      </c>
      <c r="E104" s="1871">
        <v>200</v>
      </c>
      <c r="F104" s="1871">
        <v>300</v>
      </c>
      <c r="G104" s="1871">
        <v>400</v>
      </c>
      <c r="H104" s="1871">
        <v>500</v>
      </c>
      <c r="I104" s="1871"/>
      <c r="J104" s="485"/>
      <c r="K104" s="485"/>
      <c r="L104" s="485"/>
      <c r="M104" s="1872"/>
      <c r="N104" s="2985"/>
      <c r="O104" s="2985"/>
      <c r="P104" s="2028"/>
      <c r="Q104" s="1843"/>
    </row>
    <row r="105" spans="1:17" s="1741" customFormat="1" ht="15.75" thickBot="1">
      <c r="A105" s="1839"/>
      <c r="B105" s="1831"/>
      <c r="C105" s="1844">
        <v>96</v>
      </c>
      <c r="D105" s="1825">
        <v>98</v>
      </c>
      <c r="E105" s="1825">
        <v>100</v>
      </c>
      <c r="F105" s="1825">
        <v>98</v>
      </c>
      <c r="G105" s="1825">
        <v>96</v>
      </c>
      <c r="H105" s="1825"/>
      <c r="I105" s="1825"/>
      <c r="J105" s="1825"/>
      <c r="K105" s="1825"/>
      <c r="L105" s="1825"/>
      <c r="M105" s="1826"/>
      <c r="N105" s="2984"/>
      <c r="O105" s="2984"/>
      <c r="P105" s="2028"/>
      <c r="Q105" s="1843"/>
    </row>
    <row r="106" spans="1:17" ht="15" thickTop="1">
      <c r="A106" s="1873"/>
      <c r="B106" s="1828" t="s">
        <v>2268</v>
      </c>
      <c r="C106" s="468"/>
      <c r="D106" s="468"/>
      <c r="E106" s="1547"/>
      <c r="F106" s="1547"/>
      <c r="G106" s="1547"/>
      <c r="H106" s="1547"/>
      <c r="I106" s="1547"/>
      <c r="J106" s="1547"/>
      <c r="K106" s="473"/>
      <c r="L106" s="473"/>
      <c r="M106" s="1863"/>
      <c r="N106" s="2983"/>
      <c r="O106" s="2983"/>
      <c r="P106" s="2027"/>
      <c r="Q106" s="1791"/>
    </row>
    <row r="107" spans="1:17" ht="15.75" thickBot="1">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4"/>
      <c r="O107" s="2984"/>
      <c r="P107" s="2027"/>
      <c r="Q107" s="1791"/>
    </row>
    <row r="108" spans="1:17" ht="15" thickTop="1">
      <c r="A108" s="1873"/>
      <c r="B108" s="1828" t="s">
        <v>2270</v>
      </c>
      <c r="C108" s="468"/>
      <c r="D108" s="468"/>
      <c r="E108" s="468"/>
      <c r="F108" s="1547"/>
      <c r="G108" s="1547"/>
      <c r="H108" s="1547"/>
      <c r="I108" s="1547"/>
      <c r="J108" s="1547"/>
      <c r="K108" s="473"/>
      <c r="L108" s="473"/>
      <c r="M108" s="1863"/>
      <c r="N108" s="2983"/>
      <c r="O108" s="2983"/>
      <c r="P108" s="2027"/>
      <c r="Q108" s="1791"/>
    </row>
    <row r="109" spans="1:17" ht="15.75" thickBot="1">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4"/>
      <c r="O109" s="2984"/>
      <c r="P109" s="2027"/>
      <c r="Q109" s="1791"/>
    </row>
    <row r="110" spans="1:17" ht="15" thickTop="1">
      <c r="A110" s="1873"/>
      <c r="B110" s="1828"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83"/>
      <c r="O110" s="2983"/>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3"/>
      <c r="O111" s="2983"/>
      <c r="P111" s="2027"/>
      <c r="Q111" s="1791"/>
    </row>
    <row r="112" spans="1:17" ht="15.75" thickBot="1">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4"/>
      <c r="O112" s="2984"/>
      <c r="P112" s="2027"/>
      <c r="Q112" s="1791"/>
    </row>
    <row r="113" spans="1:17" s="1741" customFormat="1" ht="15" thickTop="1">
      <c r="A113" s="1869"/>
      <c r="B113" s="1828" t="s">
        <v>2341</v>
      </c>
      <c r="C113" s="468"/>
      <c r="D113" s="468"/>
      <c r="E113" s="468"/>
      <c r="F113" s="468"/>
      <c r="G113" s="468"/>
      <c r="H113" s="1547"/>
      <c r="I113" s="1547"/>
      <c r="J113" s="1547"/>
      <c r="K113" s="473"/>
      <c r="L113" s="473"/>
      <c r="M113" s="1863"/>
      <c r="N113" s="2985"/>
      <c r="O113" s="2985"/>
      <c r="P113" s="2028"/>
      <c r="Q113" s="1843"/>
    </row>
    <row r="114" spans="1:17" s="1741" customFormat="1" ht="15.75" thickBot="1">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5"/>
      <c r="O114" s="2985"/>
      <c r="P114" s="2028"/>
      <c r="Q114" s="1843"/>
    </row>
    <row r="115" spans="1:17" ht="15" thickTop="1">
      <c r="A115" s="1873"/>
      <c r="B115" s="1828" t="s">
        <v>2272</v>
      </c>
      <c r="C115" s="468"/>
      <c r="D115" s="468"/>
      <c r="E115" s="1547"/>
      <c r="F115" s="1547"/>
      <c r="G115" s="1547"/>
      <c r="H115" s="1547"/>
      <c r="I115" s="1547"/>
      <c r="J115" s="1547"/>
      <c r="K115" s="473"/>
      <c r="L115" s="473"/>
      <c r="M115" s="1863"/>
      <c r="N115" s="2983"/>
      <c r="O115" s="2983"/>
      <c r="P115" s="2027"/>
      <c r="Q115" s="1791"/>
    </row>
    <row r="116" spans="1:17" ht="15.75" thickBot="1">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4"/>
      <c r="O116" s="2984"/>
      <c r="P116" s="2027"/>
      <c r="Q116" s="1791"/>
    </row>
    <row r="117" spans="1:17" ht="15" thickTop="1">
      <c r="A117" s="1873"/>
      <c r="B117" s="1828" t="s">
        <v>2273</v>
      </c>
      <c r="C117" s="468"/>
      <c r="D117" s="468"/>
      <c r="E117" s="468"/>
      <c r="F117" s="468"/>
      <c r="G117" s="468"/>
      <c r="H117" s="1547"/>
      <c r="I117" s="1547"/>
      <c r="J117" s="1547"/>
      <c r="K117" s="473"/>
      <c r="L117" s="473"/>
      <c r="M117" s="1863"/>
      <c r="N117" s="2983"/>
      <c r="O117" s="2983"/>
      <c r="P117" s="2027"/>
      <c r="Q117" s="1791"/>
    </row>
    <row r="118" spans="1:17" ht="15.75" thickBot="1">
      <c r="A118" s="1823"/>
      <c r="B118" s="1831"/>
      <c r="C118" s="1832">
        <v>100</v>
      </c>
      <c r="D118" s="1832">
        <f>C118-$K40</f>
        <v>100</v>
      </c>
      <c r="E118" s="1832">
        <f>D118-$K40</f>
        <v>100</v>
      </c>
      <c r="F118" s="1832">
        <f>E118-$K40</f>
        <v>100</v>
      </c>
      <c r="G118" s="1832">
        <f>F118-$K40</f>
        <v>100</v>
      </c>
      <c r="H118" s="1832"/>
      <c r="I118" s="1832"/>
      <c r="J118" s="1832"/>
      <c r="K118" s="1832"/>
      <c r="L118" s="1832"/>
      <c r="M118" s="1833"/>
      <c r="N118" s="2984"/>
      <c r="O118" s="2984"/>
      <c r="P118" s="2027"/>
      <c r="Q118" s="1791"/>
    </row>
    <row r="119" spans="1:17" ht="15" thickTop="1">
      <c r="A119" s="1873"/>
      <c r="B119" s="2475" t="s">
        <v>2342</v>
      </c>
      <c r="C119" s="1547"/>
      <c r="D119" s="1547"/>
      <c r="E119" s="1547"/>
      <c r="F119" s="1547"/>
      <c r="G119" s="1547"/>
      <c r="H119" s="1547"/>
      <c r="I119" s="1547"/>
      <c r="J119" s="1547"/>
      <c r="K119" s="1547"/>
      <c r="L119" s="1547"/>
      <c r="M119" s="2476"/>
      <c r="N119" s="2984"/>
      <c r="O119" s="2984"/>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4"/>
      <c r="O120" s="2984"/>
      <c r="P120" s="2027"/>
      <c r="Q120" s="1791"/>
    </row>
    <row r="121" spans="1:17" s="1741" customFormat="1" ht="15" thickTop="1">
      <c r="A121" s="1869"/>
      <c r="B121" s="1828" t="s">
        <v>2324</v>
      </c>
      <c r="C121" s="468"/>
      <c r="D121" s="468"/>
      <c r="E121" s="468"/>
      <c r="F121" s="1547"/>
      <c r="G121" s="443"/>
      <c r="H121" s="443"/>
      <c r="I121" s="443"/>
      <c r="J121" s="443"/>
      <c r="K121" s="443"/>
      <c r="L121" s="443"/>
      <c r="M121" s="1840"/>
      <c r="N121" s="2985"/>
      <c r="O121" s="2985"/>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5"/>
      <c r="O122" s="2985"/>
      <c r="P122" s="2028"/>
      <c r="Q122" s="1843"/>
    </row>
    <row r="123" spans="1:17" ht="15" thickTop="1">
      <c r="A123" s="1873"/>
      <c r="B123" s="1828" t="s">
        <v>2275</v>
      </c>
      <c r="C123" s="468"/>
      <c r="D123" s="468"/>
      <c r="E123" s="468"/>
      <c r="F123" s="1547"/>
      <c r="G123" s="1547"/>
      <c r="H123" s="1547"/>
      <c r="I123" s="1547"/>
      <c r="J123" s="1547"/>
      <c r="K123" s="473"/>
      <c r="L123" s="473"/>
      <c r="M123" s="1863"/>
      <c r="N123" s="2983"/>
      <c r="O123" s="2983"/>
      <c r="P123" s="2027"/>
      <c r="Q123" s="1791"/>
    </row>
    <row r="124" spans="1:17" ht="15.75" thickBot="1">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4"/>
      <c r="O124" s="2984"/>
      <c r="P124" s="2027"/>
      <c r="Q124" s="1791"/>
    </row>
    <row r="125" spans="1:17" ht="15" thickTop="1">
      <c r="A125" s="1873"/>
      <c r="B125" s="1828" t="s">
        <v>2276</v>
      </c>
      <c r="C125" s="579" t="s">
        <v>2251</v>
      </c>
      <c r="D125" s="579" t="s">
        <v>2252</v>
      </c>
      <c r="E125" s="579" t="s">
        <v>2253</v>
      </c>
      <c r="F125" s="579" t="s">
        <v>2254</v>
      </c>
      <c r="G125" s="579" t="s">
        <v>2255</v>
      </c>
      <c r="H125" s="1829"/>
      <c r="I125" s="1829"/>
      <c r="J125" s="1829"/>
      <c r="K125" s="428"/>
      <c r="L125" s="428"/>
      <c r="M125" s="1830"/>
      <c r="N125" s="2983"/>
      <c r="O125" s="2983"/>
      <c r="P125" s="2028"/>
      <c r="Q125" s="1791"/>
    </row>
    <row r="126" spans="1:17" ht="15.75" thickBot="1">
      <c r="A126" s="1823"/>
      <c r="B126" s="1831"/>
      <c r="C126" s="1832">
        <v>100</v>
      </c>
      <c r="D126" s="1832">
        <f>C126-$K44</f>
        <v>100</v>
      </c>
      <c r="E126" s="1832">
        <f>D126-$K44</f>
        <v>100</v>
      </c>
      <c r="F126" s="1832">
        <f>E126-$K44</f>
        <v>100</v>
      </c>
      <c r="G126" s="1832">
        <f>F126-$K44</f>
        <v>100</v>
      </c>
      <c r="H126" s="1832"/>
      <c r="I126" s="1832"/>
      <c r="J126" s="1832"/>
      <c r="K126" s="1832"/>
      <c r="L126" s="1832"/>
      <c r="M126" s="1833"/>
      <c r="N126" s="2984"/>
      <c r="O126" s="2984"/>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5"/>
      <c r="O127" s="2985"/>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5"/>
      <c r="O128" s="2985"/>
      <c r="P128" s="2028"/>
      <c r="Q128" s="1843"/>
    </row>
    <row r="129" spans="1:17" ht="15" thickTop="1">
      <c r="A129" s="1873"/>
      <c r="B129" s="1828">
        <f>B46</f>
        <v>111</v>
      </c>
      <c r="C129" s="468"/>
      <c r="D129" s="468"/>
      <c r="E129" s="468"/>
      <c r="F129" s="468"/>
      <c r="G129" s="1547"/>
      <c r="H129" s="1547"/>
      <c r="I129" s="1547"/>
      <c r="J129" s="1547"/>
      <c r="K129" s="473"/>
      <c r="L129" s="473"/>
      <c r="M129" s="1863"/>
      <c r="N129" s="2983"/>
      <c r="O129" s="2983"/>
      <c r="P129" s="2027"/>
      <c r="Q129" s="1791"/>
    </row>
    <row r="130" spans="1:17" ht="15.75" thickBot="1">
      <c r="A130" s="1823"/>
      <c r="B130" s="1831"/>
      <c r="C130" s="1844"/>
      <c r="D130" s="1844"/>
      <c r="E130" s="1844"/>
      <c r="F130" s="1844"/>
      <c r="G130" s="1825"/>
      <c r="H130" s="1825"/>
      <c r="I130" s="1825"/>
      <c r="J130" s="1825"/>
      <c r="K130" s="1825"/>
      <c r="L130" s="1825"/>
      <c r="M130" s="1826"/>
      <c r="N130" s="2984"/>
      <c r="O130" s="2984"/>
      <c r="P130" s="2027"/>
      <c r="Q130" s="1791"/>
    </row>
    <row r="131" spans="1:17" ht="15" thickTop="1">
      <c r="A131" s="1873"/>
      <c r="B131" s="1834">
        <f>B47</f>
        <v>111</v>
      </c>
      <c r="C131" s="409"/>
      <c r="D131" s="409"/>
      <c r="E131" s="409"/>
      <c r="F131" s="409"/>
      <c r="G131" s="1864"/>
      <c r="H131" s="1864"/>
      <c r="I131" s="1864"/>
      <c r="J131" s="1864"/>
      <c r="K131" s="409"/>
      <c r="L131" s="409"/>
      <c r="M131" s="1865"/>
      <c r="N131" s="2983"/>
      <c r="O131" s="2983"/>
      <c r="P131" s="2027"/>
      <c r="Q131" s="1791"/>
    </row>
    <row r="132" spans="1:17" ht="15.75" thickBot="1">
      <c r="A132" s="2479"/>
      <c r="B132" s="1851"/>
      <c r="C132" s="1852"/>
      <c r="D132" s="1852"/>
      <c r="E132" s="1852"/>
      <c r="F132" s="1852"/>
      <c r="G132" s="1867"/>
      <c r="H132" s="1867"/>
      <c r="I132" s="1867"/>
      <c r="J132" s="1867"/>
      <c r="K132" s="1867"/>
      <c r="L132" s="1867"/>
      <c r="M132" s="1868"/>
      <c r="N132" s="2984"/>
      <c r="O132" s="2984"/>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1" priority="20" stopIfTrue="1" operator="containsText" text="超过">
      <formula>NOT(ISERROR(SEARCH("超过",F53)))</formula>
    </cfRule>
  </conditionalFormatting>
  <conditionalFormatting sqref="H55">
    <cfRule type="containsText" dxfId="140" priority="19" stopIfTrue="1" operator="containsText" text="超过">
      <formula>NOT(ISERROR(SEARCH("超过",H55)))</formula>
    </cfRule>
  </conditionalFormatting>
  <conditionalFormatting sqref="F55">
    <cfRule type="containsText" dxfId="139" priority="18" stopIfTrue="1" operator="containsText" text="超过">
      <formula>NOT(ISERROR(SEARCH("超过",F55)))</formula>
    </cfRule>
  </conditionalFormatting>
  <conditionalFormatting sqref="F54 H54">
    <cfRule type="containsText" dxfId="138" priority="17" stopIfTrue="1" operator="containsText" text="超过">
      <formula>NOT(ISERROR(SEARCH("超过",F54)))</formula>
    </cfRule>
  </conditionalFormatting>
  <conditionalFormatting sqref="E53">
    <cfRule type="expression" dxfId="137" priority="16" stopIfTrue="1">
      <formula>$F$53="超过30%"</formula>
    </cfRule>
  </conditionalFormatting>
  <conditionalFormatting sqref="E54">
    <cfRule type="expression" dxfId="136" priority="15" stopIfTrue="1">
      <formula>$F$54="超过20%"</formula>
    </cfRule>
  </conditionalFormatting>
  <conditionalFormatting sqref="E55">
    <cfRule type="expression" dxfId="135" priority="14" stopIfTrue="1">
      <formula>$F$55="超过30%"</formula>
    </cfRule>
  </conditionalFormatting>
  <conditionalFormatting sqref="G55">
    <cfRule type="expression" dxfId="134" priority="13" stopIfTrue="1">
      <formula>$H$55="超过30%"</formula>
    </cfRule>
  </conditionalFormatting>
  <conditionalFormatting sqref="G53">
    <cfRule type="expression" dxfId="133" priority="12" stopIfTrue="1">
      <formula>$H$53="超过30%"</formula>
    </cfRule>
  </conditionalFormatting>
  <conditionalFormatting sqref="G54">
    <cfRule type="expression" dxfId="132" priority="11" stopIfTrue="1">
      <formula>$H$54="超过20%"</formula>
    </cfRule>
  </conditionalFormatting>
  <conditionalFormatting sqref="J53">
    <cfRule type="containsText" dxfId="131" priority="10" stopIfTrue="1" operator="containsText" text="超过">
      <formula>NOT(ISERROR(SEARCH("超过",J53)))</formula>
    </cfRule>
  </conditionalFormatting>
  <conditionalFormatting sqref="J55">
    <cfRule type="containsText" dxfId="130" priority="9" stopIfTrue="1" operator="containsText" text="超过">
      <formula>NOT(ISERROR(SEARCH("超过",J55)))</formula>
    </cfRule>
  </conditionalFormatting>
  <conditionalFormatting sqref="J54">
    <cfRule type="containsText" dxfId="129" priority="8" stopIfTrue="1" operator="containsText" text="超过">
      <formula>NOT(ISERROR(SEARCH("超过",J54)))</formula>
    </cfRule>
  </conditionalFormatting>
  <conditionalFormatting sqref="I53">
    <cfRule type="expression" dxfId="128" priority="7" stopIfTrue="1">
      <formula>$J$53="超过30%"</formula>
    </cfRule>
  </conditionalFormatting>
  <conditionalFormatting sqref="I54">
    <cfRule type="expression" dxfId="127" priority="6" stopIfTrue="1">
      <formula>$J$53+$J$54="超过20%"</formula>
    </cfRule>
  </conditionalFormatting>
  <conditionalFormatting sqref="I55">
    <cfRule type="expression" dxfId="126" priority="5" stopIfTrue="1">
      <formula>$J$55="超过30%"</formula>
    </cfRule>
  </conditionalFormatting>
  <conditionalFormatting sqref="F49">
    <cfRule type="expression" dxfId="125" priority="4">
      <formula>$D$49="简单平均"</formula>
    </cfRule>
  </conditionalFormatting>
  <conditionalFormatting sqref="H49">
    <cfRule type="expression" dxfId="124" priority="3">
      <formula>$D$49="简单平均"</formula>
    </cfRule>
  </conditionalFormatting>
  <conditionalFormatting sqref="J49">
    <cfRule type="expression" dxfId="123" priority="2">
      <formula>$D$49="简单平均"</formula>
    </cfRule>
  </conditionalFormatting>
  <conditionalFormatting sqref="F7:F47 H7:H47 J7:J47">
    <cfRule type="cellIs" dxfId="122"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37" sqref="K3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4" t="s">
        <v>3016</v>
      </c>
      <c r="E1" s="1595" t="s">
        <v>1184</v>
      </c>
      <c r="F1" s="1596"/>
      <c r="G1" s="1597" t="e">
        <f>MATCH(C1,'数据-取费表'!A19:A19,0)+5</f>
        <v>#N/A</v>
      </c>
      <c r="H1" s="2954"/>
      <c r="I1" s="925"/>
      <c r="J1" s="925"/>
      <c r="K1" s="926"/>
      <c r="L1" s="925"/>
      <c r="M1" s="925"/>
      <c r="N1" s="658"/>
      <c r="O1" s="658"/>
      <c r="P1" s="658"/>
      <c r="Q1" s="1038"/>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234</v>
      </c>
      <c r="C2" s="1488"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18650</v>
      </c>
      <c r="C3" s="1488"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165126</v>
      </c>
      <c r="D5" s="1602" t="s">
        <v>2669</v>
      </c>
      <c r="E5" s="927"/>
      <c r="F5" s="1055"/>
      <c r="G5" s="951"/>
      <c r="H5" s="232">
        <v>1</v>
      </c>
      <c r="I5" s="233" t="s">
        <v>1955</v>
      </c>
      <c r="J5" s="234">
        <f ca="1">J6+J10+J12</f>
        <v>0</v>
      </c>
      <c r="K5" s="1489" t="s">
        <v>1956</v>
      </c>
      <c r="L5" s="927"/>
      <c r="M5" s="1055"/>
    </row>
    <row r="6" spans="1:37" ht="18" customHeight="1">
      <c r="A6" s="1056" t="s">
        <v>1957</v>
      </c>
      <c r="B6" s="1411" t="s">
        <v>1958</v>
      </c>
      <c r="C6" s="234">
        <f>ROUND(F6*F8*F7*(1-F9),0)</f>
        <v>164920</v>
      </c>
      <c r="D6" s="36" t="s">
        <v>2644</v>
      </c>
      <c r="E6" s="235" t="s">
        <v>1959</v>
      </c>
      <c r="F6" s="236">
        <f>'数据-取费表'!B30</f>
        <v>4</v>
      </c>
      <c r="G6" s="951"/>
      <c r="H6" s="1056" t="s">
        <v>1957</v>
      </c>
      <c r="I6" s="1411" t="s">
        <v>1958</v>
      </c>
      <c r="J6" s="234">
        <f>ROUND(M6*M8*M7*(1-M9),0)</f>
        <v>0</v>
      </c>
      <c r="K6" s="36" t="s">
        <v>2644</v>
      </c>
      <c r="L6" s="235" t="s">
        <v>1959</v>
      </c>
      <c r="M6" s="236">
        <f>'数据-取费表'!B37</f>
        <v>0</v>
      </c>
    </row>
    <row r="7" spans="1:37" ht="18" customHeight="1">
      <c r="A7" s="1089"/>
      <c r="B7" s="238"/>
      <c r="C7" s="239"/>
      <c r="D7" s="240"/>
      <c r="E7" s="235" t="s">
        <v>1960</v>
      </c>
      <c r="F7" s="236">
        <f>IF('数据-取费表'!B42="",IF(D1="仅计算典型户型",'数据-取费表'!E5,'数据-取费表'!B5),'数据-取费表'!B42)</f>
        <v>125.51</v>
      </c>
      <c r="G7" s="951"/>
      <c r="H7" s="237"/>
      <c r="I7" s="238"/>
      <c r="J7" s="239"/>
      <c r="K7" s="240"/>
      <c r="L7" s="235" t="s">
        <v>1960</v>
      </c>
      <c r="M7" s="236">
        <f>IF('数据-取费表'!B42="",IF(D1="仅计算典型户型",'数据-取费表'!E5,'数据-取费表'!B5),'数据-取费表'!B42)</f>
        <v>125.51</v>
      </c>
    </row>
    <row r="8" spans="1:37" ht="18" customHeight="1">
      <c r="A8" s="1089"/>
      <c r="B8" s="238"/>
      <c r="C8" s="239"/>
      <c r="D8" s="240"/>
      <c r="E8" s="235" t="s">
        <v>1961</v>
      </c>
      <c r="F8" s="236">
        <f>'数据-取费表'!B43</f>
        <v>365</v>
      </c>
      <c r="G8" s="951"/>
      <c r="H8" s="237"/>
      <c r="I8" s="238"/>
      <c r="J8" s="239"/>
      <c r="K8" s="240"/>
      <c r="L8" s="235" t="s">
        <v>1962</v>
      </c>
      <c r="M8" s="236">
        <f>'数据-取费表'!B43</f>
        <v>365</v>
      </c>
    </row>
    <row r="9" spans="1:37" ht="18" customHeight="1">
      <c r="A9" s="1089"/>
      <c r="B9" s="238"/>
      <c r="C9" s="239"/>
      <c r="D9" s="244"/>
      <c r="E9" s="235" t="s">
        <v>1963</v>
      </c>
      <c r="F9" s="245">
        <f>'数据-取费表'!B33</f>
        <v>0.1</v>
      </c>
      <c r="G9" s="951"/>
      <c r="H9" s="237"/>
      <c r="I9" s="238"/>
      <c r="J9" s="1058"/>
      <c r="K9" s="43"/>
      <c r="L9" s="246" t="s">
        <v>1963</v>
      </c>
      <c r="M9" s="245">
        <f>'数据-取费表'!B39</f>
        <v>0</v>
      </c>
    </row>
    <row r="10" spans="1:37" ht="18" customHeight="1">
      <c r="A10" s="1056" t="s">
        <v>1964</v>
      </c>
      <c r="B10" s="1490" t="s">
        <v>1965</v>
      </c>
      <c r="C10" s="1057">
        <f ca="1">ROUND(IF(F10="押一",C6/12*F11,IF(F10="押二",C6/12*2*F11,IF(F10="押三",C6/12*3*F11,C11*F11))),0)</f>
        <v>206</v>
      </c>
      <c r="D10" s="1491" t="s">
        <v>2650</v>
      </c>
      <c r="E10" s="246" t="s">
        <v>1966</v>
      </c>
      <c r="F10" s="1492" t="s">
        <v>1967</v>
      </c>
      <c r="G10" s="951"/>
      <c r="H10" s="1056" t="s">
        <v>1964</v>
      </c>
      <c r="I10" s="1490" t="s">
        <v>1965</v>
      </c>
      <c r="J10" s="1057">
        <f ca="1">ROUND(IF(M10="押一",J6/12*M11,IF(M10="押二",J6/12*2*M11,IF(M10="押三",J6/12*3*M11,J11*M11))),0)</f>
        <v>0</v>
      </c>
      <c r="K10" s="36" t="s">
        <v>2650</v>
      </c>
      <c r="L10" s="246" t="s">
        <v>1966</v>
      </c>
      <c r="M10" s="1492"/>
    </row>
    <row r="11" spans="1:37" s="257" customFormat="1" ht="18" customHeight="1">
      <c r="A11" s="263"/>
      <c r="B11" s="1493" t="s">
        <v>1968</v>
      </c>
      <c r="C11" s="1061"/>
      <c r="D11" s="240"/>
      <c r="E11" s="246" t="s">
        <v>1969</v>
      </c>
      <c r="F11" s="247">
        <f ca="1">'数据-取费表'!B31</f>
        <v>1.4999999999999999E-2</v>
      </c>
      <c r="G11" s="952"/>
      <c r="H11" s="241"/>
      <c r="I11" s="1493" t="s">
        <v>1970</v>
      </c>
      <c r="J11" s="1061"/>
      <c r="K11" s="240"/>
      <c r="L11" s="246" t="s">
        <v>1969</v>
      </c>
      <c r="M11" s="247">
        <f ca="1">'数据-取费表'!B31</f>
        <v>1.4999999999999999E-2</v>
      </c>
      <c r="N11" s="657"/>
      <c r="O11" s="657"/>
      <c r="P11" s="657"/>
      <c r="Q11" s="1039"/>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6" t="s">
        <v>1971</v>
      </c>
      <c r="B12" s="1494" t="s">
        <v>1972</v>
      </c>
      <c r="C12" s="1067"/>
      <c r="D12" s="1495"/>
      <c r="E12" s="1073"/>
      <c r="F12" s="1068"/>
      <c r="G12" s="951"/>
      <c r="H12" s="1066" t="s">
        <v>1971</v>
      </c>
      <c r="I12" s="1494" t="s">
        <v>1972</v>
      </c>
      <c r="J12" s="1067"/>
      <c r="K12" s="1083"/>
      <c r="L12" s="1073"/>
      <c r="M12" s="1084"/>
    </row>
    <row r="13" spans="1:37" s="257" customFormat="1" ht="18" customHeight="1" thickTop="1">
      <c r="A13" s="1062">
        <v>2</v>
      </c>
      <c r="B13" s="1063" t="s">
        <v>1973</v>
      </c>
      <c r="C13" s="243">
        <f ca="1">ROUND(C29*F13,0)</f>
        <v>472641</v>
      </c>
      <c r="D13" s="1064" t="s">
        <v>1974</v>
      </c>
      <c r="E13" s="1064" t="s">
        <v>1975</v>
      </c>
      <c r="F13" s="1065">
        <f>'数据-取费表'!E20</f>
        <v>0.74</v>
      </c>
      <c r="G13" s="952"/>
      <c r="H13" s="1062">
        <v>2</v>
      </c>
      <c r="I13" s="1063" t="s">
        <v>1973</v>
      </c>
      <c r="J13" s="1058">
        <f ca="1">ROUND(J14*J15,0)</f>
        <v>0</v>
      </c>
      <c r="K13" s="1069" t="s">
        <v>1974</v>
      </c>
      <c r="L13" s="1081"/>
      <c r="M13" s="1082"/>
      <c r="N13" s="657"/>
      <c r="O13" s="657"/>
      <c r="P13" s="657"/>
      <c r="Q13" s="1039"/>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439285</v>
      </c>
      <c r="D14" s="1297" t="s">
        <v>1978</v>
      </c>
      <c r="E14" s="1298"/>
      <c r="F14" s="799"/>
      <c r="G14" s="952"/>
      <c r="H14" s="253" t="s">
        <v>1957</v>
      </c>
      <c r="I14" s="235" t="s">
        <v>1979</v>
      </c>
      <c r="J14" s="13">
        <f ca="1">C29</f>
        <v>638704</v>
      </c>
      <c r="K14" s="12"/>
      <c r="L14" s="251"/>
      <c r="M14" s="252"/>
      <c r="N14" s="657"/>
      <c r="O14" s="657"/>
      <c r="P14" s="657"/>
      <c r="Q14" s="1039"/>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13179</v>
      </c>
      <c r="D15" s="255" t="s">
        <v>1982</v>
      </c>
      <c r="E15" s="255" t="s">
        <v>1983</v>
      </c>
      <c r="F15" s="256">
        <f>'数据-取费表'!E21</f>
        <v>0.03</v>
      </c>
      <c r="G15" s="951"/>
      <c r="H15" s="1072" t="s">
        <v>1984</v>
      </c>
      <c r="I15" s="1073" t="s">
        <v>1985</v>
      </c>
      <c r="J15" s="1085">
        <f>'数据-取费表'!B40</f>
        <v>0</v>
      </c>
      <c r="K15" s="1086"/>
      <c r="L15" s="1087"/>
      <c r="M15" s="1088"/>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2" t="s">
        <v>14</v>
      </c>
      <c r="I16" s="1063" t="s">
        <v>1988</v>
      </c>
      <c r="J16" s="243">
        <f ca="1">ROUND(J17+J22+J23+J24,0)</f>
        <v>14946</v>
      </c>
      <c r="K16" s="1069" t="s">
        <v>1989</v>
      </c>
      <c r="L16" s="1070"/>
      <c r="M16" s="1071"/>
      <c r="N16" s="657"/>
      <c r="O16" s="657"/>
      <c r="P16" s="657"/>
      <c r="Q16" s="1039"/>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25102</v>
      </c>
      <c r="D17" s="235" t="s">
        <v>1992</v>
      </c>
      <c r="E17" s="235" t="s">
        <v>1993</v>
      </c>
      <c r="F17" s="15">
        <f>'数据-取费表'!E23</f>
        <v>200</v>
      </c>
      <c r="G17" s="952"/>
      <c r="H17" s="253" t="s">
        <v>1994</v>
      </c>
      <c r="I17" s="235" t="s">
        <v>1995</v>
      </c>
      <c r="J17" s="2794">
        <f ca="1">ROUND(IF(AND(项目基本情况!B7="自然人",项目基本情况!B6="北京市"),J6*M17/(1+'数据-取费表'!F30),J18+J19+J20),0)</f>
        <v>5365</v>
      </c>
      <c r="K17" s="1297" t="s">
        <v>1996</v>
      </c>
      <c r="L17" s="1300" t="s">
        <v>1997</v>
      </c>
      <c r="M17" s="2793" t="str">
        <f>IF(项目基本情况!B7="企业","——",IF('数据-取费表'!B10="住宅",IF(M6*M7*M8/12/(1+'数据-取费表'!F30)&gt;100000,4%,2.5%),IF(M6*M7*M8/12/(1+'数据-取费表'!F30)&gt;100000,12%,7%)))</f>
        <v>——</v>
      </c>
      <c r="N17" s="657"/>
      <c r="O17" s="657"/>
      <c r="P17" s="657"/>
      <c r="Q17" s="1039"/>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6589</v>
      </c>
      <c r="D18" s="235" t="s">
        <v>1982</v>
      </c>
      <c r="E18" s="235" t="s">
        <v>1983</v>
      </c>
      <c r="F18" s="258">
        <f>'数据-取费表'!E24</f>
        <v>1.4999999999999999E-2</v>
      </c>
      <c r="G18" s="951"/>
      <c r="H18" s="253" t="s">
        <v>2000</v>
      </c>
      <c r="I18" s="235" t="s">
        <v>2001</v>
      </c>
      <c r="J18" s="13">
        <f>IF(项目基本情况!B7="自然人","——",ROUND(J6*M18/(1+'数据-取费表'!F30),0))</f>
        <v>0</v>
      </c>
      <c r="K18" s="1300" t="s">
        <v>2671</v>
      </c>
      <c r="L18" s="235" t="s">
        <v>1983</v>
      </c>
      <c r="M18" s="258">
        <f>'数据-取费表'!E29</f>
        <v>5.6000000000000001E-2</v>
      </c>
    </row>
    <row r="19" spans="1:37" s="257" customFormat="1" ht="18" customHeight="1">
      <c r="A19" s="253" t="s">
        <v>1994</v>
      </c>
      <c r="B19" s="235" t="s">
        <v>2002</v>
      </c>
      <c r="C19" s="13">
        <f>SUM(C14:C18)</f>
        <v>484155</v>
      </c>
      <c r="D19" s="33" t="s">
        <v>2003</v>
      </c>
      <c r="E19" s="1302"/>
      <c r="F19" s="15"/>
      <c r="G19" s="952"/>
      <c r="H19" s="253" t="s">
        <v>1980</v>
      </c>
      <c r="I19" s="235" t="s">
        <v>2004</v>
      </c>
      <c r="J19" s="13">
        <f ca="1">IF(项目基本情况!B7="自然人","——",IF(K19="按租金收入计税",ROUND(J6*M19/(1+'数据-取费表'!F30),0),ROUND(C29*M19*0.7,0)))</f>
        <v>5365</v>
      </c>
      <c r="K19" s="1405"/>
      <c r="L19" s="235" t="s">
        <v>1983</v>
      </c>
      <c r="M19" s="258">
        <f>IF(K19="按租金收入计税",'数据-取费表'!E39,'数据-取费表'!E38)</f>
        <v>1.2E-2</v>
      </c>
      <c r="N19" s="657"/>
      <c r="O19" s="657"/>
      <c r="P19" s="657"/>
      <c r="Q19" s="1039"/>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9683</v>
      </c>
      <c r="D20" s="259" t="s">
        <v>2007</v>
      </c>
      <c r="E20" s="235" t="s">
        <v>2008</v>
      </c>
      <c r="F20" s="258">
        <f>'数据-取费表'!E25</f>
        <v>0.02</v>
      </c>
      <c r="G20" s="952"/>
      <c r="H20" s="253" t="s">
        <v>1986</v>
      </c>
      <c r="I20" s="36" t="s">
        <v>2009</v>
      </c>
      <c r="J20" s="14">
        <f>IF(项目基本情况!B7="自然人","——",ROUND(M20*M21,0))</f>
        <v>0</v>
      </c>
      <c r="K20" s="261" t="s">
        <v>2010</v>
      </c>
      <c r="L20" s="235" t="s">
        <v>2011</v>
      </c>
      <c r="M20" s="262">
        <f>'数据-取费表'!E40</f>
        <v>1.5</v>
      </c>
      <c r="N20" s="657"/>
      <c r="O20" s="657"/>
      <c r="P20" s="657"/>
      <c r="Q20" s="1039"/>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2"/>
      <c r="F22" s="15"/>
      <c r="G22" s="951"/>
      <c r="H22" s="253" t="s">
        <v>1984</v>
      </c>
      <c r="I22" s="235" t="s">
        <v>2019</v>
      </c>
      <c r="J22" s="13">
        <f ca="1">ROUND(J14*M22,0)</f>
        <v>9581</v>
      </c>
      <c r="K22" s="1300"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21482</v>
      </c>
      <c r="D23" s="1401"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0" t="s">
        <v>2024</v>
      </c>
      <c r="L23" s="235" t="s">
        <v>2025</v>
      </c>
      <c r="M23" s="266">
        <f>'数据-取费表'!B46</f>
        <v>1.5E-3</v>
      </c>
    </row>
    <row r="24" spans="1:37" s="257" customFormat="1" ht="18" customHeight="1" thickBot="1">
      <c r="A24" s="253" t="s">
        <v>2026</v>
      </c>
      <c r="B24" s="235" t="s">
        <v>2027</v>
      </c>
      <c r="C24" s="13">
        <f ca="1">ROUND(IF('数据-取费表'!B24&lt;=1,F21*F24*F23/2,F21*(POWER((1+F24),F23/2)-1)),4)</f>
        <v>8.9999999999999998E-4</v>
      </c>
      <c r="D24" s="1401" t="str">
        <f>IF(F23&lt;=1,"销售费用×利率×(建设周期÷2)","销售费用×((1+利率)^(建设周期÷2)-1)")</f>
        <v>销售费用×((1+利率)^(建设周期÷2)-1)</v>
      </c>
      <c r="E24" s="235" t="s">
        <v>2028</v>
      </c>
      <c r="F24" s="267">
        <f ca="1">'数据-取费表'!E27</f>
        <v>4.3499999999999997E-2</v>
      </c>
      <c r="G24" s="952"/>
      <c r="H24" s="1072" t="s">
        <v>2017</v>
      </c>
      <c r="I24" s="1073" t="s">
        <v>2006</v>
      </c>
      <c r="J24" s="1074">
        <f ca="1">ROUND(J5*M24,0)</f>
        <v>0</v>
      </c>
      <c r="K24" s="1075" t="s">
        <v>2029</v>
      </c>
      <c r="L24" s="1073" t="s">
        <v>2025</v>
      </c>
      <c r="M24" s="1068">
        <f>'数据-取费表'!B47</f>
        <v>0.02</v>
      </c>
      <c r="N24" s="657"/>
      <c r="O24" s="657"/>
      <c r="P24" s="657"/>
      <c r="Q24" s="1039"/>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2"/>
      <c r="F25" s="15"/>
      <c r="G25" s="952"/>
      <c r="H25" s="1062" t="s">
        <v>22</v>
      </c>
      <c r="I25" s="1077" t="s">
        <v>2033</v>
      </c>
      <c r="J25" s="243">
        <f ca="1">J5-J16</f>
        <v>-14946</v>
      </c>
      <c r="K25" s="1078" t="s">
        <v>2034</v>
      </c>
      <c r="L25" s="1079"/>
      <c r="M25" s="1080"/>
      <c r="N25" s="657"/>
      <c r="O25" s="657"/>
      <c r="P25" s="657"/>
      <c r="Q25" s="1039"/>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74076</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2" t="s">
        <v>2050</v>
      </c>
      <c r="B29" s="1073" t="s">
        <v>2051</v>
      </c>
      <c r="C29" s="1074">
        <f ca="1">ROUND((C19+C20+C23+C26)/(1-F21-C24-C27-C28),0)</f>
        <v>638704</v>
      </c>
      <c r="D29" s="1075"/>
      <c r="E29" s="1073"/>
      <c r="F29" s="1076"/>
      <c r="G29" s="652"/>
      <c r="H29" s="271" t="s">
        <v>24</v>
      </c>
      <c r="I29" s="272" t="s">
        <v>2052</v>
      </c>
      <c r="J29" s="273">
        <f ca="1">ROUND(J26/(1+F40)^F41,0)</f>
        <v>0</v>
      </c>
      <c r="K29" s="274" t="s">
        <v>2053</v>
      </c>
      <c r="L29" s="275"/>
      <c r="M29" s="276">
        <f>IF(D1="仅计算典型户型",'数据-取费表'!E5,'数据-取费表'!B5)</f>
        <v>125.51</v>
      </c>
    </row>
    <row r="30" spans="1:37" ht="18" customHeight="1" thickTop="1">
      <c r="A30" s="1062" t="s">
        <v>14</v>
      </c>
      <c r="B30" s="1063" t="s">
        <v>2054</v>
      </c>
      <c r="C30" s="243">
        <f ca="1">ROUND(C31+C36+C37+C38,0)</f>
        <v>41237</v>
      </c>
      <c r="D30" s="1069" t="s">
        <v>2055</v>
      </c>
      <c r="E30" s="1070"/>
      <c r="F30" s="1071"/>
      <c r="G30" s="652"/>
      <c r="H30" s="931"/>
      <c r="I30" s="932"/>
      <c r="J30" s="933"/>
      <c r="K30" s="934"/>
      <c r="L30" s="935"/>
      <c r="M30" s="936"/>
    </row>
    <row r="31" spans="1:37" ht="18" customHeight="1">
      <c r="A31" s="253" t="s">
        <v>1957</v>
      </c>
      <c r="B31" s="235" t="s">
        <v>1995</v>
      </c>
      <c r="C31" s="2794">
        <f>ROUND(IF(AND(项目基本情况!B7="自然人",项目基本情况!B6="北京市"),C6*F31/(1+'数据-取费表'!F30),C32+C33+C34),0)</f>
        <v>27644</v>
      </c>
      <c r="D31" s="1297" t="s">
        <v>2056</v>
      </c>
      <c r="E31" s="1300" t="s">
        <v>2057</v>
      </c>
      <c r="F31" s="2793"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8796</v>
      </c>
      <c r="D32" s="1300" t="s">
        <v>2670</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18848</v>
      </c>
      <c r="D33" s="1405" t="s">
        <v>2831</v>
      </c>
      <c r="E33" s="235" t="s">
        <v>1983</v>
      </c>
      <c r="F33" s="258">
        <f>IF(D33="按票据","——",IF(D33="按租金收入计税",'数据-取费表'!E39,'数据-取费表'!E38))</f>
        <v>0.12</v>
      </c>
      <c r="G33" s="652"/>
      <c r="H33" s="943"/>
      <c r="I33" s="278" t="s">
        <v>2060</v>
      </c>
      <c r="J33" s="279"/>
      <c r="K33" s="944"/>
      <c r="L33" s="943"/>
      <c r="M33" s="943"/>
    </row>
    <row r="34" spans="1:18" ht="18" customHeight="1">
      <c r="A34" s="1056" t="s">
        <v>1986</v>
      </c>
      <c r="B34" s="36" t="s">
        <v>2009</v>
      </c>
      <c r="C34" s="14">
        <f>IF(项目基本情况!B7="自然人","——",ROUND(F34*F35,0))</f>
        <v>0</v>
      </c>
      <c r="D34" s="261" t="s">
        <v>2010</v>
      </c>
      <c r="E34" s="235" t="s">
        <v>2011</v>
      </c>
      <c r="F34" s="262">
        <f>'数据-取费表'!E40</f>
        <v>1.5</v>
      </c>
      <c r="G34" s="652"/>
      <c r="H34" s="931"/>
      <c r="I34" s="280" t="s">
        <v>2061</v>
      </c>
      <c r="J34" s="281">
        <f ca="1">ROUND(C13*J35,0)</f>
        <v>33085</v>
      </c>
      <c r="K34" s="945"/>
      <c r="L34" s="946"/>
      <c r="M34" s="946"/>
    </row>
    <row r="35" spans="1:18" ht="24.6" customHeight="1">
      <c r="A35" s="1060"/>
      <c r="B35" s="244"/>
      <c r="C35" s="17"/>
      <c r="D35" s="264"/>
      <c r="E35" s="235" t="s">
        <v>2016</v>
      </c>
      <c r="F35" s="236">
        <f>IF(D1="仅计算典型户型",'数据-取费表'!E6,'数据-取费表'!B6)</f>
        <v>0</v>
      </c>
      <c r="G35" s="652" t="s">
        <v>2759</v>
      </c>
      <c r="H35" s="931"/>
      <c r="I35" s="282" t="s">
        <v>2062</v>
      </c>
      <c r="J35" s="283">
        <f>'数据-取费表'!B18</f>
        <v>7.0000000000000007E-2</v>
      </c>
      <c r="K35" s="944"/>
      <c r="L35" s="943"/>
      <c r="M35" s="943"/>
    </row>
    <row r="36" spans="1:18" ht="18" customHeight="1">
      <c r="A36" s="1059" t="s">
        <v>1964</v>
      </c>
      <c r="B36" s="235" t="s">
        <v>2063</v>
      </c>
      <c r="C36" s="13">
        <f ca="1">ROUND(C29*F36,0)</f>
        <v>9581</v>
      </c>
      <c r="D36" s="1300"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709</v>
      </c>
      <c r="D37" s="1300" t="s">
        <v>2024</v>
      </c>
      <c r="E37" s="235" t="s">
        <v>2025</v>
      </c>
      <c r="F37" s="266">
        <f>'数据-取费表'!B46</f>
        <v>1.5E-3</v>
      </c>
      <c r="G37" s="652"/>
      <c r="H37" s="943"/>
      <c r="I37" s="132" t="s">
        <v>2066</v>
      </c>
      <c r="J37" s="286"/>
      <c r="K37" s="947"/>
      <c r="L37" s="943"/>
      <c r="M37" s="943"/>
    </row>
    <row r="38" spans="1:18" ht="18" customHeight="1" thickBot="1">
      <c r="A38" s="1072" t="s">
        <v>2017</v>
      </c>
      <c r="B38" s="1073" t="s">
        <v>2006</v>
      </c>
      <c r="C38" s="1074">
        <f ca="1">ROUND(C5*F38,0)</f>
        <v>3303</v>
      </c>
      <c r="D38" s="1075" t="s">
        <v>2029</v>
      </c>
      <c r="E38" s="1073" t="s">
        <v>2025</v>
      </c>
      <c r="F38" s="1068">
        <f>'数据-取费表'!B47</f>
        <v>0.02</v>
      </c>
      <c r="G38" s="652"/>
      <c r="H38" s="943"/>
      <c r="I38" s="280" t="s">
        <v>2067</v>
      </c>
      <c r="J38" s="136">
        <f ca="1">ROUND(J34/C39,3)</f>
        <v>0.26700000000000002</v>
      </c>
      <c r="K38" s="948"/>
      <c r="L38" s="943"/>
      <c r="M38" s="943"/>
    </row>
    <row r="39" spans="1:18" ht="18" customHeight="1" thickTop="1">
      <c r="A39" s="1062" t="s">
        <v>22</v>
      </c>
      <c r="B39" s="1077" t="s">
        <v>2068</v>
      </c>
      <c r="C39" s="243">
        <f ca="1">C5-C30</f>
        <v>123889</v>
      </c>
      <c r="D39" s="1078" t="s">
        <v>2069</v>
      </c>
      <c r="E39" s="1079"/>
      <c r="F39" s="1080"/>
      <c r="G39" s="652"/>
      <c r="H39" s="943"/>
      <c r="I39" s="280" t="s">
        <v>2070</v>
      </c>
      <c r="J39" s="136">
        <f ca="1">1-J38</f>
        <v>0.73299999999999998</v>
      </c>
      <c r="K39" s="948"/>
      <c r="L39" s="943"/>
      <c r="M39" s="943"/>
    </row>
    <row r="40" spans="1:18" s="652" customFormat="1" ht="18" customHeight="1">
      <c r="A40" s="232" t="s">
        <v>23</v>
      </c>
      <c r="B40" s="233" t="s">
        <v>2071</v>
      </c>
      <c r="C40" s="234">
        <f ca="1">ROUND(C39*(1-((1+F42)/(1+F40))^F41)/(F40-F42),0)</f>
        <v>2340749</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3" t="s">
        <v>2653</v>
      </c>
      <c r="F41" s="270">
        <f>IF('数据-取费表'!B29="租赁期内按合同租金",'数据-取费表'!B35,IF(E41="收益年期(n)",'数据-取费表'!B34,'数据-取费表'!B13))</f>
        <v>29</v>
      </c>
      <c r="H41" s="950"/>
      <c r="I41" s="135" t="s">
        <v>1945</v>
      </c>
      <c r="J41" s="136">
        <f ca="1">ROUND(C13/C40,3)</f>
        <v>0.20200000000000001</v>
      </c>
      <c r="K41" s="947"/>
      <c r="L41" s="950"/>
      <c r="M41" s="950"/>
      <c r="Q41" s="656"/>
    </row>
    <row r="42" spans="1:18" s="652" customFormat="1" ht="18" customHeight="1">
      <c r="A42" s="241"/>
      <c r="B42" s="242"/>
      <c r="C42" s="243"/>
      <c r="D42" s="264"/>
      <c r="E42" s="235" t="s">
        <v>2049</v>
      </c>
      <c r="F42" s="245">
        <f>'数据-取费表'!B32</f>
        <v>2.5000000000000001E-2</v>
      </c>
      <c r="H42" s="950"/>
      <c r="I42" s="135" t="s">
        <v>1946</v>
      </c>
      <c r="J42" s="137">
        <f ca="1">1-J41</f>
        <v>0.79800000000000004</v>
      </c>
      <c r="K42" s="947"/>
      <c r="L42" s="950"/>
      <c r="M42" s="950"/>
      <c r="Q42" s="656"/>
    </row>
    <row r="43" spans="1:18" s="652" customFormat="1" ht="18" customHeight="1" thickBot="1">
      <c r="A43" s="271" t="s">
        <v>24</v>
      </c>
      <c r="B43" s="272" t="s">
        <v>2074</v>
      </c>
      <c r="C43" s="273">
        <f ca="1">ROUND(C40/F43,0)</f>
        <v>18650</v>
      </c>
      <c r="D43" s="274" t="s">
        <v>2075</v>
      </c>
      <c r="E43" s="275" t="s">
        <v>2076</v>
      </c>
      <c r="F43" s="276">
        <f>IF(D1="仅计算典型户型",'数据-取费表'!E5,'数据-取费表'!B5)</f>
        <v>125.51</v>
      </c>
      <c r="G43" s="654"/>
      <c r="H43" s="950"/>
      <c r="I43" s="950"/>
      <c r="J43" s="950"/>
      <c r="K43" s="947"/>
      <c r="L43" s="950"/>
      <c r="M43" s="950"/>
      <c r="O43" s="1040" t="s">
        <v>2077</v>
      </c>
      <c r="P43" s="1041"/>
      <c r="Q43" s="1037"/>
      <c r="R43" s="1041"/>
    </row>
    <row r="44" spans="1:18" s="652" customFormat="1" ht="18" customHeight="1" thickBot="1">
      <c r="A44" s="649"/>
      <c r="B44" s="649"/>
      <c r="C44" s="651"/>
      <c r="D44" s="649"/>
      <c r="E44" s="649"/>
      <c r="F44" s="649"/>
      <c r="G44" s="654"/>
      <c r="K44" s="653"/>
      <c r="O44" s="1042" t="s">
        <v>2078</v>
      </c>
      <c r="P44" s="1043" t="s">
        <v>2079</v>
      </c>
      <c r="Q44" s="1044" t="s">
        <v>2080</v>
      </c>
      <c r="R44" s="1045" t="s">
        <v>2081</v>
      </c>
    </row>
    <row r="45" spans="1:18" s="652" customFormat="1" ht="18" customHeight="1" thickBot="1">
      <c r="A45" s="649"/>
      <c r="B45" s="649"/>
      <c r="C45" s="651"/>
      <c r="D45" s="649"/>
      <c r="E45" s="649"/>
      <c r="F45" s="649"/>
      <c r="G45" s="655"/>
      <c r="K45" s="653"/>
      <c r="O45" s="1046" t="s">
        <v>949</v>
      </c>
      <c r="P45" s="1047" t="s">
        <v>2082</v>
      </c>
      <c r="Q45" s="1048">
        <f ca="1">C40+J29</f>
        <v>2340749</v>
      </c>
      <c r="R45" s="1049" t="s">
        <v>2083</v>
      </c>
    </row>
    <row r="46" spans="1:18" s="652" customFormat="1" ht="18" customHeight="1" thickBot="1">
      <c r="A46" s="649"/>
      <c r="D46" s="649"/>
      <c r="E46" s="649"/>
      <c r="F46" s="649"/>
      <c r="K46" s="653"/>
      <c r="O46" s="1046" t="s">
        <v>950</v>
      </c>
      <c r="P46" s="1047" t="s">
        <v>2084</v>
      </c>
      <c r="Q46" s="1048" t="str">
        <f>J61</f>
        <v>0</v>
      </c>
      <c r="R46" s="1049" t="s">
        <v>2085</v>
      </c>
    </row>
    <row r="47" spans="1:18" s="652" customFormat="1" ht="21.75" thickBot="1">
      <c r="A47" s="1496" t="s">
        <v>2086</v>
      </c>
      <c r="C47" s="992">
        <f ca="1">IF(C2="元",C69-C40,ROUND((C69-C40)/10000,0))</f>
        <v>-326</v>
      </c>
      <c r="D47" s="1497" t="str">
        <f>C2</f>
        <v>万元</v>
      </c>
      <c r="E47" s="649"/>
      <c r="F47" s="649"/>
      <c r="I47" s="1498" t="s">
        <v>2087</v>
      </c>
      <c r="J47" s="1022"/>
      <c r="K47" s="1023"/>
      <c r="L47" s="1036" t="str">
        <f>IF(M48="住宅",0,IF(L49&gt;J52,L61,J61))</f>
        <v>0</v>
      </c>
      <c r="O47" s="1050" t="s">
        <v>951</v>
      </c>
      <c r="P47" s="1047" t="s">
        <v>2088</v>
      </c>
      <c r="Q47" s="1048">
        <f ca="1">C29</f>
        <v>638704</v>
      </c>
      <c r="R47" s="1049" t="s">
        <v>2083</v>
      </c>
    </row>
    <row r="48" spans="1:18" s="652" customFormat="1" ht="15.75" thickBot="1">
      <c r="A48" s="228" t="s">
        <v>2089</v>
      </c>
      <c r="B48" s="229" t="s">
        <v>2090</v>
      </c>
      <c r="C48" s="229" t="s">
        <v>2091</v>
      </c>
      <c r="D48" s="229" t="s">
        <v>2092</v>
      </c>
      <c r="E48" s="986" t="s">
        <v>2093</v>
      </c>
      <c r="F48" s="987"/>
      <c r="I48" s="1499" t="s">
        <v>2094</v>
      </c>
      <c r="J48" s="1500" t="s">
        <v>3001</v>
      </c>
      <c r="K48" s="1501" t="s">
        <v>2095</v>
      </c>
      <c r="L48" s="1024">
        <f>'数据-取费表'!B11</f>
        <v>50</v>
      </c>
      <c r="M48" s="1037" t="str">
        <f>IF('数据-取费表'!B10="住宅","住宅","非住宅")</f>
        <v>非住宅</v>
      </c>
      <c r="O48" s="1050" t="s">
        <v>952</v>
      </c>
      <c r="P48" s="1047" t="s">
        <v>2096</v>
      </c>
      <c r="Q48" s="1051" t="e">
        <f>J59</f>
        <v>#VALUE!</v>
      </c>
      <c r="R48" s="1049"/>
    </row>
    <row r="49" spans="1:18" s="652" customFormat="1" ht="15.75" thickBot="1">
      <c r="A49" s="1097" t="s">
        <v>963</v>
      </c>
      <c r="B49" s="233" t="s">
        <v>2097</v>
      </c>
      <c r="C49" s="1098">
        <f ca="1">C50+C54+C56</f>
        <v>0</v>
      </c>
      <c r="D49" s="1099"/>
      <c r="E49" s="44"/>
      <c r="F49" s="15"/>
      <c r="I49" s="1502" t="s">
        <v>2098</v>
      </c>
      <c r="J49" s="1503" t="s">
        <v>3002</v>
      </c>
      <c r="K49" s="1504" t="s">
        <v>2099</v>
      </c>
      <c r="L49" s="863">
        <f>'数据-取费表'!B13</f>
        <v>29</v>
      </c>
      <c r="O49" s="1050" t="s">
        <v>953</v>
      </c>
      <c r="P49" s="1047" t="s">
        <v>2100</v>
      </c>
      <c r="Q49" s="1051">
        <f>J53</f>
        <v>7.4999999999999997E-2</v>
      </c>
      <c r="R49" s="1049"/>
    </row>
    <row r="50" spans="1:18" s="652" customFormat="1" ht="15.75" thickBot="1">
      <c r="A50" s="260" t="s">
        <v>1957</v>
      </c>
      <c r="B50" s="1411" t="s">
        <v>2101</v>
      </c>
      <c r="C50" s="234">
        <f>ROUND(F50*F52*F51*(1-F53),0)</f>
        <v>0</v>
      </c>
      <c r="D50" s="42" t="s">
        <v>2645</v>
      </c>
      <c r="E50" s="1505" t="s">
        <v>2102</v>
      </c>
      <c r="F50" s="988"/>
      <c r="I50" s="1502" t="s">
        <v>2103</v>
      </c>
      <c r="J50" s="863">
        <f>'数据-取费表'!B27</f>
        <v>2002</v>
      </c>
      <c r="K50" s="1506" t="s">
        <v>2104</v>
      </c>
      <c r="L50" s="1025"/>
      <c r="O50" s="1050" t="s">
        <v>954</v>
      </c>
      <c r="P50" s="1047" t="s">
        <v>2105</v>
      </c>
      <c r="Q50" s="1048">
        <f>J54</f>
        <v>29</v>
      </c>
      <c r="R50" s="1049" t="s">
        <v>2106</v>
      </c>
    </row>
    <row r="51" spans="1:18" s="652" customFormat="1" ht="15.75" thickBot="1">
      <c r="A51" s="237"/>
      <c r="B51" s="238"/>
      <c r="C51" s="239"/>
      <c r="D51" s="240"/>
      <c r="E51" s="255" t="s">
        <v>1960</v>
      </c>
      <c r="F51" s="985">
        <f>F7</f>
        <v>125.51</v>
      </c>
      <c r="I51" s="1502" t="s">
        <v>2107</v>
      </c>
      <c r="J51" s="1026">
        <f>SUMPRODUCT((I64:I66=J48)*(J63:L63=J49)*(J64:L66))</f>
        <v>60</v>
      </c>
      <c r="K51" s="1506" t="s">
        <v>2108</v>
      </c>
      <c r="L51" s="1025"/>
      <c r="O51" s="1046" t="s">
        <v>955</v>
      </c>
      <c r="P51" s="1047" t="str">
        <f>IF(C2="元","收益价值(元)","收益价值(万元)")</f>
        <v>收益价值(万元)</v>
      </c>
      <c r="Q51" s="1048">
        <f ca="1">ROUND(IF(C2="元",Q45+Q46,(Q45+Q46)/10000),0)</f>
        <v>234</v>
      </c>
      <c r="R51" s="1049" t="s">
        <v>956</v>
      </c>
    </row>
    <row r="52" spans="1:18" s="652" customFormat="1" ht="16.5" thickBot="1">
      <c r="A52" s="237"/>
      <c r="B52" s="238"/>
      <c r="C52" s="239"/>
      <c r="D52" s="240"/>
      <c r="E52" s="235" t="s">
        <v>1962</v>
      </c>
      <c r="F52" s="236">
        <f>F8</f>
        <v>365</v>
      </c>
      <c r="I52" s="1507" t="s">
        <v>2109</v>
      </c>
      <c r="J52" s="1027">
        <f>IF(J50="",J51,J50+J51-YEAR('数据-取费表'!B2))</f>
        <v>41</v>
      </c>
      <c r="K52" s="1508" t="s">
        <v>2110</v>
      </c>
      <c r="L52" s="1028">
        <f ca="1">ROUND(-PV('数据-取费表'!B15,J52,(C40-C13*J35)),0)</f>
        <v>39909593</v>
      </c>
      <c r="O52" s="1040" t="s">
        <v>2111</v>
      </c>
      <c r="P52" s="1041"/>
      <c r="Q52" s="1037"/>
      <c r="R52" s="1041"/>
    </row>
    <row r="53" spans="1:18" s="652" customFormat="1" ht="15.75" thickBot="1">
      <c r="A53" s="241"/>
      <c r="B53" s="242"/>
      <c r="C53" s="243"/>
      <c r="D53" s="244"/>
      <c r="E53" s="235" t="s">
        <v>1963</v>
      </c>
      <c r="F53" s="1035"/>
      <c r="I53" s="1509" t="s">
        <v>2112</v>
      </c>
      <c r="J53" s="1029">
        <f>'数据-取费表'!B17</f>
        <v>7.4999999999999997E-2</v>
      </c>
      <c r="K53" s="1509" t="s">
        <v>2113</v>
      </c>
      <c r="L53" s="1029"/>
      <c r="O53" s="1042" t="s">
        <v>2078</v>
      </c>
      <c r="P53" s="1043" t="s">
        <v>2079</v>
      </c>
      <c r="Q53" s="1044" t="s">
        <v>2080</v>
      </c>
      <c r="R53" s="1045" t="s">
        <v>2081</v>
      </c>
    </row>
    <row r="54" spans="1:18" s="652" customFormat="1" ht="29.25" customHeight="1" thickBot="1">
      <c r="A54" s="1056" t="s">
        <v>1964</v>
      </c>
      <c r="B54" s="1490" t="s">
        <v>1965</v>
      </c>
      <c r="C54" s="1057">
        <f ca="1">ROUND(IF(F54="押一",C50/12*F11,IF(F54="押二",C50/12*2*F11,IF(F54="押三",C50/12*3*F11,C55*F11))),0)</f>
        <v>0</v>
      </c>
      <c r="D54" s="1491" t="s">
        <v>2651</v>
      </c>
      <c r="E54" s="246" t="s">
        <v>1966</v>
      </c>
      <c r="F54" s="1492"/>
      <c r="I54" s="1598" t="s">
        <v>2654</v>
      </c>
      <c r="J54" s="1030">
        <f>IF(M48="住宅",IF(E1="——",MAX(J52,L49),MAX(J52,L49-'数据-取费表'!B26)),IF(E1="——",MIN(J52,L49),MIN(J52,L49-'数据-取费表'!B26)))</f>
        <v>29</v>
      </c>
      <c r="K54" s="3664" t="s">
        <v>2643</v>
      </c>
      <c r="L54" s="3665"/>
      <c r="O54" s="1046" t="s">
        <v>949</v>
      </c>
      <c r="P54" s="1047" t="s">
        <v>2082</v>
      </c>
      <c r="Q54" s="1048">
        <f ca="1">C40+J29</f>
        <v>2340749</v>
      </c>
      <c r="R54" s="1049" t="s">
        <v>2083</v>
      </c>
    </row>
    <row r="55" spans="1:18" s="652" customFormat="1" ht="20.25" thickBot="1">
      <c r="A55" s="1056"/>
      <c r="B55" s="1510" t="s">
        <v>1970</v>
      </c>
      <c r="C55" s="1061"/>
      <c r="D55" s="42"/>
      <c r="E55" s="151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6" t="s">
        <v>950</v>
      </c>
      <c r="P55" s="1047" t="s">
        <v>2114</v>
      </c>
      <c r="Q55" s="1048">
        <f>L61</f>
        <v>0</v>
      </c>
      <c r="R55" s="1049" t="s">
        <v>2115</v>
      </c>
    </row>
    <row r="56" spans="1:18" s="652" customFormat="1" ht="20.25" thickBot="1">
      <c r="A56" s="1066" t="s">
        <v>1971</v>
      </c>
      <c r="B56" s="1494" t="s">
        <v>1972</v>
      </c>
      <c r="C56" s="1067"/>
      <c r="D56" s="1083"/>
      <c r="E56" s="1513"/>
      <c r="F56" s="1122"/>
      <c r="I56" s="1514" t="s">
        <v>2116</v>
      </c>
      <c r="J56" s="1289" t="e">
        <f>ROUND(IF(J48="钢混",J58/J51,1-(1-2%)*(J51-J58)/J51),3)</f>
        <v>#VALUE!</v>
      </c>
      <c r="K56" s="1515" t="s">
        <v>2117</v>
      </c>
      <c r="L56" s="1031"/>
      <c r="O56" s="1050" t="s">
        <v>951</v>
      </c>
      <c r="P56" s="1047" t="s">
        <v>2118</v>
      </c>
      <c r="Q56" s="1048">
        <f>IF(L56="比较法",L50,IF(L56="基准地价",L51,0))</f>
        <v>0</v>
      </c>
      <c r="R56" s="1049" t="s">
        <v>2083</v>
      </c>
    </row>
    <row r="57" spans="1:18" s="652" customFormat="1" ht="44.25" thickTop="1" thickBot="1">
      <c r="A57" s="1062">
        <v>2</v>
      </c>
      <c r="B57" s="1063" t="s">
        <v>1973</v>
      </c>
      <c r="C57" s="1121">
        <f ca="1">C13</f>
        <v>472641</v>
      </c>
      <c r="D57" s="983"/>
      <c r="E57" s="984"/>
      <c r="F57" s="991"/>
      <c r="I57" s="1516" t="s">
        <v>2119</v>
      </c>
      <c r="J57" s="1034" t="s">
        <v>3003</v>
      </c>
      <c r="K57" s="1502" t="s">
        <v>2120</v>
      </c>
      <c r="L57" s="863" t="str">
        <f>IF(L49&lt;J52,"——",L49-J52)</f>
        <v>——</v>
      </c>
      <c r="O57" s="1050" t="s">
        <v>952</v>
      </c>
      <c r="P57" s="1047" t="s">
        <v>2121</v>
      </c>
      <c r="Q57" s="1051">
        <f>L53</f>
        <v>0</v>
      </c>
      <c r="R57" s="1049"/>
    </row>
    <row r="58" spans="1:18" s="652" customFormat="1" ht="29.25" thickBot="1">
      <c r="A58" s="990"/>
      <c r="B58" s="235" t="s">
        <v>2051</v>
      </c>
      <c r="C58" s="104">
        <f ca="1">C29</f>
        <v>638704</v>
      </c>
      <c r="D58" s="983"/>
      <c r="E58" s="984"/>
      <c r="F58" s="991"/>
      <c r="I58" s="1517" t="s">
        <v>2122</v>
      </c>
      <c r="J58" s="1033" t="str">
        <f>IF(OR(M48="住宅",J52&lt;L49,J57="是"),"——",J52-L49)</f>
        <v>——</v>
      </c>
      <c r="K58" s="1502" t="s">
        <v>2123</v>
      </c>
      <c r="L58" s="863" t="str">
        <f>IF(L49&lt;J52,"——",IF(L56="比较法",L50,IF(L56="基准地价",L51,L52)))</f>
        <v>——</v>
      </c>
      <c r="O58" s="1050" t="s">
        <v>953</v>
      </c>
      <c r="P58" s="1047" t="s">
        <v>2124</v>
      </c>
      <c r="Q58" s="1048" t="e">
        <f>L59</f>
        <v>#DIV/0!</v>
      </c>
      <c r="R58" s="1049" t="s">
        <v>2125</v>
      </c>
    </row>
    <row r="59" spans="1:18" s="652" customFormat="1" ht="29.25" thickBot="1">
      <c r="A59" s="248" t="s">
        <v>14</v>
      </c>
      <c r="B59" s="249" t="s">
        <v>2054</v>
      </c>
      <c r="C59" s="250">
        <f ca="1">ROUND(C60+C65+C66+C67,0)</f>
        <v>63941</v>
      </c>
      <c r="D59" s="12" t="s">
        <v>2055</v>
      </c>
      <c r="E59" s="1302"/>
      <c r="F59" s="15"/>
      <c r="I59" s="1517" t="s">
        <v>2126</v>
      </c>
      <c r="J59" s="1288" t="e">
        <f>IF(J56&lt;0.4,0.4,J56)</f>
        <v>#VALUE!</v>
      </c>
      <c r="K59" s="1508" t="s">
        <v>2127</v>
      </c>
      <c r="L59" s="863" t="e">
        <f>ROUND(POWER(1+L53,L48-L49)*(POWER(1+L53,L49)-1)/(POWER(1+L53,L48)-1),4)</f>
        <v>#DIV/0!</v>
      </c>
      <c r="O59" s="1050" t="s">
        <v>954</v>
      </c>
      <c r="P59" s="1047" t="str">
        <f>K60</f>
        <v>建筑物剩余耐用年限下的土地年期修正系数Kn</v>
      </c>
      <c r="Q59" s="1048" t="e">
        <f>L60</f>
        <v>#DIV/0!</v>
      </c>
      <c r="R59" s="1049" t="s">
        <v>2128</v>
      </c>
    </row>
    <row r="60" spans="1:18" s="652" customFormat="1" ht="29.25" thickBot="1">
      <c r="A60" s="253" t="s">
        <v>15</v>
      </c>
      <c r="B60" s="235" t="s">
        <v>1995</v>
      </c>
      <c r="C60" s="2794">
        <f ca="1">ROUND(IF(AND(项目基本情况!B7="自然人",项目基本情况!B6="北京市"),C50*F60/(1+'数据-取费表'!F30),C61+C62+C63),0)</f>
        <v>53651</v>
      </c>
      <c r="D60" s="1297" t="s">
        <v>2056</v>
      </c>
      <c r="E60" s="1300" t="s">
        <v>2057</v>
      </c>
      <c r="F60" s="2793" t="str">
        <f>IF(项目基本情况!B7="企业","——",IF('数据-取费表'!B10="住宅",IF(F50*F51*F52/12/(1+'数据-取费表'!F30)&gt;100000,4%,2.5%),IF(F50*F51*F52/12/(1+'数据-取费表'!F30)&gt;100000,12%,7%)))</f>
        <v>——</v>
      </c>
      <c r="I60" s="1517" t="s">
        <v>2129</v>
      </c>
      <c r="J60" s="1033" t="str">
        <f>IF(OR(M48="住宅",J52&lt;L49,J57="是"),"——",ROUND(C29*J59,0))</f>
        <v>——</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234</v>
      </c>
      <c r="R60" s="1049" t="s">
        <v>956</v>
      </c>
    </row>
    <row r="61" spans="1:18" s="652" customFormat="1" ht="16.5" thickBot="1">
      <c r="A61" s="253" t="s">
        <v>16</v>
      </c>
      <c r="B61" s="235" t="s">
        <v>2058</v>
      </c>
      <c r="C61" s="13">
        <f ca="1">IF(项目基本情况!B7="自然人","——",ROUND(C49*F61/(1+'数据-取费表'!F30),0))</f>
        <v>0</v>
      </c>
      <c r="D61" s="1300" t="s">
        <v>2059</v>
      </c>
      <c r="E61" s="235" t="s">
        <v>2008</v>
      </c>
      <c r="F61" s="267">
        <f t="shared" ref="F61:F67" si="0">F32</f>
        <v>5.6000000000000001E-2</v>
      </c>
      <c r="I61" s="1518" t="s">
        <v>2130</v>
      </c>
      <c r="J61" s="1032" t="str">
        <f>IF(OR(M48="住宅",J52&lt;L49,J57="是"),"0",ROUND(J60/(1+J53)^J54,0))</f>
        <v>0</v>
      </c>
      <c r="K61" s="1519" t="s">
        <v>2131</v>
      </c>
      <c r="L61" s="1032">
        <f>IF(OR(M48="住宅",L49&lt;J52),0,ROUND(L58*(L59/L60-1),0))</f>
        <v>0</v>
      </c>
      <c r="O61" s="1040" t="s">
        <v>2132</v>
      </c>
      <c r="P61" s="1041"/>
      <c r="Q61" s="1037"/>
      <c r="R61" s="1041"/>
    </row>
    <row r="62" spans="1:18" s="652" customFormat="1" ht="15.75" thickBot="1">
      <c r="A62" s="253" t="s">
        <v>17</v>
      </c>
      <c r="B62" s="235" t="s">
        <v>2133</v>
      </c>
      <c r="C62" s="13">
        <f ca="1">IF(项目基本情况!B7="自然人","——",IF(D62="按租金收入计税",ROUND(C50*F62/(1+'数据-取费表'!F30),0),IF(D62="按房产原值计税",ROUND(C58*F62*0.7,0),'数据-取费表'!B44)))</f>
        <v>53651</v>
      </c>
      <c r="D62" s="1405" t="s">
        <v>2005</v>
      </c>
      <c r="E62" s="235" t="s">
        <v>2008</v>
      </c>
      <c r="F62" s="258">
        <f t="shared" si="0"/>
        <v>0.12</v>
      </c>
      <c r="O62" s="1042" t="s">
        <v>2078</v>
      </c>
      <c r="P62" s="1043" t="s">
        <v>2079</v>
      </c>
      <c r="Q62" s="1044" t="s">
        <v>2080</v>
      </c>
      <c r="R62" s="1045" t="s">
        <v>2081</v>
      </c>
    </row>
    <row r="63" spans="1:18" s="652" customFormat="1" ht="15.75" thickBot="1">
      <c r="A63" s="260" t="s">
        <v>18</v>
      </c>
      <c r="B63" s="36" t="s">
        <v>2134</v>
      </c>
      <c r="C63" s="14">
        <f>IF(项目基本情况!B7="自然人","——",ROUND(F63*F64,0))</f>
        <v>0</v>
      </c>
      <c r="D63" s="261" t="s">
        <v>2135</v>
      </c>
      <c r="E63" s="235" t="s">
        <v>2136</v>
      </c>
      <c r="F63" s="262">
        <f t="shared" si="0"/>
        <v>1.5</v>
      </c>
      <c r="I63" s="1520" t="s">
        <v>2137</v>
      </c>
      <c r="J63" s="1292" t="s">
        <v>2138</v>
      </c>
      <c r="K63" s="1292" t="s">
        <v>2139</v>
      </c>
      <c r="L63" s="1292" t="s">
        <v>2140</v>
      </c>
      <c r="M63" s="1291" t="s">
        <v>2141</v>
      </c>
      <c r="O63" s="1046" t="s">
        <v>949</v>
      </c>
      <c r="P63" s="1047" t="s">
        <v>2082</v>
      </c>
      <c r="Q63" s="1048">
        <f ca="1">C40+J29</f>
        <v>2340749</v>
      </c>
      <c r="R63" s="1049" t="s">
        <v>2083</v>
      </c>
    </row>
    <row r="64" spans="1:18" s="652" customFormat="1" ht="20.25" thickBot="1">
      <c r="A64" s="263"/>
      <c r="B64" s="244"/>
      <c r="C64" s="17"/>
      <c r="D64" s="264"/>
      <c r="E64" s="235" t="s">
        <v>2142</v>
      </c>
      <c r="F64" s="236">
        <f t="shared" si="0"/>
        <v>0</v>
      </c>
      <c r="I64" s="1520" t="s">
        <v>2143</v>
      </c>
      <c r="J64" s="1292">
        <v>70</v>
      </c>
      <c r="K64" s="1292">
        <v>50</v>
      </c>
      <c r="L64" s="1292">
        <v>80</v>
      </c>
      <c r="M64" s="1290">
        <v>0.02</v>
      </c>
      <c r="O64" s="1046" t="s">
        <v>950</v>
      </c>
      <c r="P64" s="1047" t="s">
        <v>2114</v>
      </c>
      <c r="Q64" s="1048">
        <f>L61</f>
        <v>0</v>
      </c>
      <c r="R64" s="1049" t="s">
        <v>2115</v>
      </c>
    </row>
    <row r="65" spans="1:18" s="652" customFormat="1" ht="23.25" thickBot="1">
      <c r="A65" s="253" t="s">
        <v>19</v>
      </c>
      <c r="B65" s="235" t="s">
        <v>2063</v>
      </c>
      <c r="C65" s="13">
        <f ca="1">ROUND(C58*F65,0)</f>
        <v>9581</v>
      </c>
      <c r="D65" s="1300" t="s">
        <v>2064</v>
      </c>
      <c r="E65" s="235" t="s">
        <v>2008</v>
      </c>
      <c r="F65" s="265">
        <f t="shared" si="0"/>
        <v>1.4999999999999999E-2</v>
      </c>
      <c r="I65" s="1520" t="s">
        <v>2144</v>
      </c>
      <c r="J65" s="1292">
        <v>50</v>
      </c>
      <c r="K65" s="1292">
        <v>35</v>
      </c>
      <c r="L65" s="1292">
        <v>60</v>
      </c>
      <c r="M65" s="1291">
        <v>0</v>
      </c>
      <c r="O65" s="1050" t="s">
        <v>951</v>
      </c>
      <c r="P65" s="1047" t="s">
        <v>2118</v>
      </c>
      <c r="Q65" s="1052">
        <f ca="1">L52</f>
        <v>39909593</v>
      </c>
      <c r="R65" s="1053" t="s">
        <v>2145</v>
      </c>
    </row>
    <row r="66" spans="1:18" s="652" customFormat="1" ht="20.25" thickBot="1">
      <c r="A66" s="253" t="s">
        <v>20</v>
      </c>
      <c r="B66" s="235" t="s">
        <v>2023</v>
      </c>
      <c r="C66" s="13">
        <f ca="1">ROUND(C57*F66,0)</f>
        <v>709</v>
      </c>
      <c r="D66" s="1300" t="s">
        <v>2024</v>
      </c>
      <c r="E66" s="235" t="s">
        <v>2025</v>
      </c>
      <c r="F66" s="266">
        <f t="shared" si="0"/>
        <v>1.5E-3</v>
      </c>
      <c r="I66" s="1520" t="s">
        <v>2146</v>
      </c>
      <c r="J66" s="1292">
        <v>40</v>
      </c>
      <c r="K66" s="1292">
        <v>30</v>
      </c>
      <c r="L66" s="1292">
        <v>50</v>
      </c>
      <c r="M66" s="1290">
        <v>0.02</v>
      </c>
      <c r="O66" s="1050" t="s">
        <v>952</v>
      </c>
      <c r="P66" s="1054" t="s">
        <v>2147</v>
      </c>
      <c r="Q66" s="1048">
        <f ca="1">ROUND(Q67-Q68*Q69,0)</f>
        <v>90804</v>
      </c>
      <c r="R66" s="1049"/>
    </row>
    <row r="67" spans="1:18" s="652" customFormat="1" ht="15.75" thickBot="1">
      <c r="A67" s="253" t="s">
        <v>21</v>
      </c>
      <c r="B67" s="235" t="s">
        <v>2006</v>
      </c>
      <c r="C67" s="13">
        <f ca="1">ROUND(C49*F67,0)</f>
        <v>0</v>
      </c>
      <c r="D67" s="1300" t="s">
        <v>2029</v>
      </c>
      <c r="E67" s="235" t="s">
        <v>2025</v>
      </c>
      <c r="F67" s="245">
        <f t="shared" si="0"/>
        <v>0.02</v>
      </c>
      <c r="O67" s="1050" t="s">
        <v>957</v>
      </c>
      <c r="P67" s="1054" t="s">
        <v>2148</v>
      </c>
      <c r="Q67" s="1048">
        <f ca="1">C39</f>
        <v>123889</v>
      </c>
      <c r="R67" s="1049" t="s">
        <v>2083</v>
      </c>
    </row>
    <row r="68" spans="1:18" ht="15.75" thickBot="1">
      <c r="A68" s="248" t="s">
        <v>22</v>
      </c>
      <c r="B68" s="41" t="s">
        <v>2033</v>
      </c>
      <c r="C68" s="250">
        <f ca="1">C49-C59</f>
        <v>-63941</v>
      </c>
      <c r="D68" s="1297" t="s">
        <v>2034</v>
      </c>
      <c r="E68" s="1299"/>
      <c r="F68" s="268"/>
      <c r="H68" s="652"/>
      <c r="I68" s="652"/>
      <c r="J68" s="652"/>
      <c r="K68" s="652"/>
      <c r="L68" s="652"/>
      <c r="M68" s="652"/>
      <c r="O68" s="1050" t="s">
        <v>958</v>
      </c>
      <c r="P68" s="1054" t="s">
        <v>2149</v>
      </c>
      <c r="Q68" s="1048">
        <f ca="1">C13</f>
        <v>472641</v>
      </c>
      <c r="R68" s="1049" t="s">
        <v>2083</v>
      </c>
    </row>
    <row r="69" spans="1:18" ht="15.75" thickBot="1">
      <c r="A69" s="232" t="s">
        <v>23</v>
      </c>
      <c r="B69" s="233" t="s">
        <v>2071</v>
      </c>
      <c r="C69" s="234">
        <f ca="1">ROUND(C68*(1-((1+F71)/(1+F69))^F70)/(F69-F71),0)</f>
        <v>-916473</v>
      </c>
      <c r="D69" s="261" t="s">
        <v>2039</v>
      </c>
      <c r="E69" s="235" t="s">
        <v>2040</v>
      </c>
      <c r="F69" s="245">
        <f>F40</f>
        <v>5.5E-2</v>
      </c>
      <c r="H69" s="652"/>
      <c r="I69" s="652"/>
      <c r="J69" s="652"/>
      <c r="K69" s="652"/>
      <c r="L69" s="652"/>
      <c r="M69" s="652"/>
      <c r="O69" s="1050" t="s">
        <v>959</v>
      </c>
      <c r="P69" s="1054" t="s">
        <v>2150</v>
      </c>
      <c r="Q69" s="1051">
        <f>J35</f>
        <v>7.0000000000000007E-2</v>
      </c>
      <c r="R69" s="1049"/>
    </row>
    <row r="70" spans="1:18" ht="15.75" thickBot="1">
      <c r="A70" s="237"/>
      <c r="B70" s="238"/>
      <c r="C70" s="239"/>
      <c r="D70" s="269" t="s">
        <v>2073</v>
      </c>
      <c r="E70" s="235" t="s">
        <v>2045</v>
      </c>
      <c r="F70" s="270">
        <f>F41</f>
        <v>29</v>
      </c>
      <c r="H70" s="652"/>
      <c r="I70" s="652"/>
      <c r="J70" s="652"/>
      <c r="K70" s="652"/>
      <c r="L70" s="652"/>
      <c r="M70" s="652"/>
      <c r="O70" s="1050" t="s">
        <v>953</v>
      </c>
      <c r="P70" s="1047" t="s">
        <v>2121</v>
      </c>
      <c r="Q70" s="1051">
        <f>L53</f>
        <v>0</v>
      </c>
      <c r="R70" s="1049"/>
    </row>
    <row r="71" spans="1:18" ht="20.25" thickBot="1">
      <c r="A71" s="241"/>
      <c r="B71" s="242"/>
      <c r="C71" s="243"/>
      <c r="D71" s="264"/>
      <c r="E71" s="235" t="s">
        <v>2049</v>
      </c>
      <c r="F71" s="1035"/>
      <c r="H71" s="652"/>
      <c r="M71" s="652"/>
      <c r="O71" s="1050" t="s">
        <v>954</v>
      </c>
      <c r="P71" s="1047" t="s">
        <v>2124</v>
      </c>
      <c r="Q71" s="1048" t="e">
        <f>L59</f>
        <v>#DIV/0!</v>
      </c>
      <c r="R71" s="1049" t="s">
        <v>2125</v>
      </c>
    </row>
    <row r="72" spans="1:18" ht="15.75" thickBot="1">
      <c r="A72" s="271" t="s">
        <v>24</v>
      </c>
      <c r="B72" s="272" t="s">
        <v>2074</v>
      </c>
      <c r="C72" s="273">
        <f ca="1">ROUND(C69/F72,0)</f>
        <v>-7302</v>
      </c>
      <c r="D72" s="274" t="s">
        <v>2075</v>
      </c>
      <c r="E72" s="275" t="s">
        <v>2076</v>
      </c>
      <c r="F72" s="276">
        <f>F43</f>
        <v>125.51</v>
      </c>
      <c r="O72" s="1050" t="s">
        <v>960</v>
      </c>
      <c r="P72" s="1047" t="str">
        <f>K60</f>
        <v>建筑物剩余耐用年限下的土地年期修正系数Kn</v>
      </c>
      <c r="Q72" s="1048" t="e">
        <f>L60</f>
        <v>#DIV/0!</v>
      </c>
      <c r="R72" s="1049" t="s">
        <v>2128</v>
      </c>
    </row>
    <row r="73" spans="1:18" ht="15.75" thickBot="1">
      <c r="A73" s="652"/>
      <c r="B73" s="656"/>
      <c r="C73" s="656"/>
      <c r="D73" s="652"/>
      <c r="E73" s="652"/>
      <c r="F73" s="652"/>
      <c r="O73" s="1046" t="s">
        <v>955</v>
      </c>
      <c r="P73" s="1047" t="str">
        <f>IF(C2="元","收益价值(元)","收益价值(万元)")</f>
        <v>收益价值(万元)</v>
      </c>
      <c r="Q73" s="1048">
        <f ca="1">ROUND(IF(C2="元",Q63+Q64,(Q63+Q64)/10000),0)</f>
        <v>234</v>
      </c>
      <c r="R73" s="1049"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1" priority="6">
      <formula>$L$49&gt;$J$52</formula>
    </cfRule>
  </conditionalFormatting>
  <conditionalFormatting sqref="I56">
    <cfRule type="expression" dxfId="120" priority="7">
      <formula>$J$52&gt;$L$49</formula>
    </cfRule>
  </conditionalFormatting>
  <conditionalFormatting sqref="I61">
    <cfRule type="expression" dxfId="119" priority="5">
      <formula>$J$52&gt;$L$49</formula>
    </cfRule>
  </conditionalFormatting>
  <conditionalFormatting sqref="K61">
    <cfRule type="expression" dxfId="118" priority="4">
      <formula>$L$49&gt;$J$52</formula>
    </cfRule>
  </conditionalFormatting>
  <conditionalFormatting sqref="C11">
    <cfRule type="expression" dxfId="117" priority="3">
      <formula>$F$10="自定义"</formula>
    </cfRule>
  </conditionalFormatting>
  <conditionalFormatting sqref="J11">
    <cfRule type="expression" dxfId="116" priority="2">
      <formula>$M$10="自定义"</formula>
    </cfRule>
  </conditionalFormatting>
  <conditionalFormatting sqref="C55">
    <cfRule type="expression" dxfId="11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2980</v>
      </c>
      <c r="B1" s="3132"/>
      <c r="C1" s="3138"/>
      <c r="D1" s="3138"/>
      <c r="E1" s="3133"/>
      <c r="F1" s="3134"/>
      <c r="G1" s="3227"/>
      <c r="J1" s="3230" t="s">
        <v>2836</v>
      </c>
      <c r="K1" s="3231"/>
      <c r="L1" s="3231"/>
      <c r="M1" s="3231"/>
      <c r="N1" s="3231"/>
      <c r="O1" s="3231"/>
      <c r="P1" s="3231"/>
      <c r="Q1" s="3231"/>
      <c r="R1" s="3232"/>
      <c r="S1" s="3233"/>
      <c r="T1" s="3233"/>
      <c r="U1" s="3233"/>
    </row>
    <row r="2" spans="1:23" s="3141" customFormat="1" ht="13.15" customHeight="1">
      <c r="A2" s="3136" t="s">
        <v>2837</v>
      </c>
      <c r="B2" s="3137" t="e">
        <f>C40</f>
        <v>#DIV/0!</v>
      </c>
      <c r="C2" s="3138" t="s">
        <v>2838</v>
      </c>
      <c r="D2" s="3138"/>
      <c r="E2" s="3139"/>
      <c r="F2" s="3140"/>
      <c r="G2" s="3234"/>
      <c r="H2" s="3235"/>
      <c r="I2" s="3236"/>
      <c r="J2" s="3672" t="s">
        <v>2839</v>
      </c>
      <c r="K2" s="3673"/>
      <c r="L2" s="3237" t="s">
        <v>2840</v>
      </c>
      <c r="M2" s="3237" t="s">
        <v>2841</v>
      </c>
      <c r="N2" s="3237" t="s">
        <v>2842</v>
      </c>
      <c r="O2" s="3237" t="s">
        <v>2843</v>
      </c>
      <c r="P2" s="3237" t="s">
        <v>2844</v>
      </c>
      <c r="Q2" s="3238" t="s">
        <v>2845</v>
      </c>
      <c r="R2" s="3239" t="s">
        <v>2846</v>
      </c>
      <c r="S2" s="3233"/>
      <c r="T2" s="3233"/>
      <c r="U2" s="3233"/>
      <c r="V2" s="3236"/>
      <c r="W2" s="3235"/>
    </row>
    <row r="3" spans="1:23" s="3141" customFormat="1" ht="13.15" customHeight="1">
      <c r="A3" s="3143" t="s">
        <v>2847</v>
      </c>
      <c r="B3" s="3144" t="e">
        <f>ROUND(B2*10000/B4,0)</f>
        <v>#DIV/0!</v>
      </c>
      <c r="C3" s="3138" t="s">
        <v>2848</v>
      </c>
      <c r="D3" s="3138"/>
      <c r="E3" s="3139"/>
      <c r="F3" s="3140"/>
      <c r="G3" s="3234"/>
      <c r="H3" s="3235"/>
      <c r="I3" s="3236"/>
      <c r="J3" s="3674" t="s">
        <v>2849</v>
      </c>
      <c r="K3" s="3675"/>
      <c r="L3" s="3240"/>
      <c r="M3" s="3240"/>
      <c r="N3" s="3240"/>
      <c r="O3" s="3240"/>
      <c r="P3" s="3240"/>
      <c r="Q3" s="3241"/>
      <c r="R3" s="3242">
        <f>SUM(L3:Q3)</f>
        <v>0</v>
      </c>
      <c r="S3" s="3233"/>
      <c r="T3" s="3233"/>
      <c r="U3" s="3233"/>
      <c r="V3" s="3236"/>
      <c r="W3" s="3235"/>
    </row>
    <row r="4" spans="1:23" s="3141" customFormat="1" ht="13.15" customHeight="1">
      <c r="A4" s="3145" t="s">
        <v>2850</v>
      </c>
      <c r="B4" s="3202"/>
      <c r="C4" s="3138"/>
      <c r="D4" s="3138"/>
      <c r="E4" s="3139"/>
      <c r="F4" s="3140"/>
      <c r="G4" s="3234"/>
      <c r="H4" s="3235"/>
      <c r="I4" s="3236"/>
      <c r="J4" s="3674" t="s">
        <v>2851</v>
      </c>
      <c r="K4" s="3675"/>
      <c r="L4" s="3243"/>
      <c r="M4" s="3243"/>
      <c r="N4" s="3243"/>
      <c r="O4" s="3243"/>
      <c r="P4" s="3243"/>
      <c r="Q4" s="3244"/>
      <c r="R4" s="3245">
        <f>SUM(L4:Q4)</f>
        <v>0</v>
      </c>
      <c r="S4" s="3233"/>
      <c r="T4" s="3233"/>
      <c r="U4" s="3233"/>
      <c r="V4" s="3236"/>
      <c r="W4" s="3235"/>
    </row>
    <row r="5" spans="1:23" s="3141" customFormat="1" ht="13.15" customHeight="1" thickBot="1">
      <c r="A5" s="3146" t="s">
        <v>2852</v>
      </c>
      <c r="B5" s="3203"/>
      <c r="C5" s="3138"/>
      <c r="D5" s="3147"/>
      <c r="E5" s="3140"/>
      <c r="F5" s="3140"/>
      <c r="G5" s="3234"/>
      <c r="H5" s="3235"/>
      <c r="I5" s="3236"/>
      <c r="J5" s="3246" t="s">
        <v>2853</v>
      </c>
      <c r="K5" s="3247"/>
      <c r="L5" s="3247"/>
      <c r="M5" s="3248"/>
      <c r="N5" s="3248"/>
      <c r="O5" s="3248"/>
      <c r="P5" s="3248"/>
      <c r="Q5" s="3248"/>
      <c r="R5" s="3239">
        <f>SUM(R14,R19,R24,R25,R27,R28)</f>
        <v>0</v>
      </c>
      <c r="S5" s="3233"/>
      <c r="T5" s="3233" t="s">
        <v>2854</v>
      </c>
      <c r="U5" s="3233" t="e">
        <f>ROUND(R5*10000/365/R3,1)</f>
        <v>#DIV/0!</v>
      </c>
      <c r="V5" s="3236"/>
      <c r="W5" s="3235"/>
    </row>
    <row r="6" spans="1:23" s="3141" customFormat="1" ht="13.15" customHeight="1" thickBot="1">
      <c r="A6" s="3680" t="s">
        <v>2855</v>
      </c>
      <c r="B6" s="3681"/>
      <c r="C6" s="3682"/>
      <c r="D6" s="3204"/>
      <c r="E6" s="3148"/>
      <c r="F6" s="3149"/>
      <c r="G6" s="3249"/>
      <c r="H6" s="3235"/>
      <c r="I6" s="3236"/>
      <c r="J6" s="3666">
        <v>1</v>
      </c>
      <c r="K6" s="3667" t="s">
        <v>2856</v>
      </c>
      <c r="L6" s="3250" t="s">
        <v>2857</v>
      </c>
      <c r="M6" s="3251" t="s">
        <v>2858</v>
      </c>
      <c r="N6" s="3251" t="s">
        <v>2859</v>
      </c>
      <c r="O6" s="3251" t="s">
        <v>2860</v>
      </c>
      <c r="P6" s="3251" t="s">
        <v>2861</v>
      </c>
      <c r="Q6" s="3251" t="s">
        <v>2862</v>
      </c>
      <c r="R6" s="3242" t="s">
        <v>2863</v>
      </c>
      <c r="S6" s="3233"/>
      <c r="T6" s="3233" t="s">
        <v>2864</v>
      </c>
      <c r="U6" s="3233"/>
      <c r="V6" s="3236"/>
      <c r="W6" s="3235"/>
    </row>
    <row r="7" spans="1:23" s="3141" customFormat="1" ht="13.15" customHeight="1">
      <c r="A7" s="3151" t="s">
        <v>2865</v>
      </c>
      <c r="B7" s="3152"/>
      <c r="C7" s="3153"/>
      <c r="D7" s="3154">
        <f>SUM(D9,D10,D11,D17,0)</f>
        <v>0</v>
      </c>
      <c r="E7" s="3155" t="e">
        <f>E9+E10+E11+E17</f>
        <v>#DIV/0!</v>
      </c>
      <c r="F7" s="3156"/>
      <c r="G7" s="3252"/>
      <c r="H7" s="3235"/>
      <c r="I7" s="3236"/>
      <c r="J7" s="3666"/>
      <c r="K7" s="3668"/>
      <c r="L7" s="3253" t="s">
        <v>2965</v>
      </c>
      <c r="M7" s="3254"/>
      <c r="N7" s="3254"/>
      <c r="O7" s="3255"/>
      <c r="P7" s="3255"/>
      <c r="Q7" s="3256">
        <v>365</v>
      </c>
      <c r="R7" s="3257">
        <f>ROUND(M7*N7*O7*P7*Q7/10000,0)</f>
        <v>0</v>
      </c>
      <c r="S7" s="3233"/>
      <c r="T7" s="3233" t="s">
        <v>2866</v>
      </c>
      <c r="U7" s="3233"/>
      <c r="V7" s="3236"/>
      <c r="W7" s="3235"/>
    </row>
    <row r="8" spans="1:23" s="3141" customFormat="1" ht="13.15" customHeight="1">
      <c r="A8" s="3157" t="s">
        <v>2867</v>
      </c>
      <c r="B8" s="3683" t="s">
        <v>2868</v>
      </c>
      <c r="C8" s="3684"/>
      <c r="D8" s="3158" t="s">
        <v>2869</v>
      </c>
      <c r="E8" s="3159" t="s">
        <v>2870</v>
      </c>
      <c r="F8" s="3142" t="s">
        <v>2871</v>
      </c>
      <c r="G8" s="3312" t="s">
        <v>2979</v>
      </c>
      <c r="H8" s="3235"/>
      <c r="I8" s="3236"/>
      <c r="J8" s="3666"/>
      <c r="K8" s="3668"/>
      <c r="L8" s="3253" t="s">
        <v>2966</v>
      </c>
      <c r="M8" s="3254"/>
      <c r="N8" s="3254"/>
      <c r="O8" s="3255"/>
      <c r="P8" s="3255"/>
      <c r="Q8" s="3256">
        <v>365</v>
      </c>
      <c r="R8" s="3257">
        <f t="shared" ref="R8:R13" si="0">ROUND(M8*N8*O8*P8*Q8/10000,0)</f>
        <v>0</v>
      </c>
      <c r="S8" s="3233"/>
      <c r="T8" s="3233" t="s">
        <v>2872</v>
      </c>
      <c r="U8" s="3233"/>
      <c r="V8" s="3236"/>
      <c r="W8" s="3235"/>
    </row>
    <row r="9" spans="1:23" s="3141" customFormat="1" ht="13.15" customHeight="1">
      <c r="A9" s="3157">
        <v>1</v>
      </c>
      <c r="B9" s="3683" t="s">
        <v>2873</v>
      </c>
      <c r="C9" s="3684"/>
      <c r="D9" s="3158">
        <f>ROUND(D6*E9,0)</f>
        <v>0</v>
      </c>
      <c r="E9" s="3205"/>
      <c r="F9" s="3160" t="s">
        <v>2874</v>
      </c>
      <c r="G9" s="3258" t="s">
        <v>2977</v>
      </c>
      <c r="H9" s="3235"/>
      <c r="I9" s="3236"/>
      <c r="J9" s="3666"/>
      <c r="K9" s="3668"/>
      <c r="L9" s="3253" t="s">
        <v>2967</v>
      </c>
      <c r="M9" s="3254"/>
      <c r="N9" s="3254"/>
      <c r="O9" s="3255"/>
      <c r="P9" s="3255"/>
      <c r="Q9" s="3256">
        <v>365</v>
      </c>
      <c r="R9" s="3257">
        <f t="shared" si="0"/>
        <v>0</v>
      </c>
      <c r="S9" s="3233"/>
      <c r="T9" s="3233"/>
      <c r="U9" s="3233"/>
      <c r="V9" s="3236"/>
      <c r="W9" s="3235"/>
    </row>
    <row r="10" spans="1:23" s="3141" customFormat="1" ht="13.15" customHeight="1">
      <c r="A10" s="3157">
        <v>2</v>
      </c>
      <c r="B10" s="3683" t="s">
        <v>2875</v>
      </c>
      <c r="C10" s="3684"/>
      <c r="D10" s="3158">
        <f>ROUND(D6*E10,0)</f>
        <v>0</v>
      </c>
      <c r="E10" s="3205"/>
      <c r="F10" s="3160" t="s">
        <v>2876</v>
      </c>
      <c r="G10" s="3258" t="s">
        <v>2978</v>
      </c>
      <c r="H10" s="3235"/>
      <c r="I10" s="3236"/>
      <c r="J10" s="3666"/>
      <c r="K10" s="3668"/>
      <c r="L10" s="3253" t="s">
        <v>2968</v>
      </c>
      <c r="M10" s="3254"/>
      <c r="N10" s="3254"/>
      <c r="O10" s="3255"/>
      <c r="P10" s="3255"/>
      <c r="Q10" s="3256">
        <v>365</v>
      </c>
      <c r="R10" s="3257">
        <f t="shared" si="0"/>
        <v>0</v>
      </c>
      <c r="S10" s="3233"/>
      <c r="T10" s="3233"/>
      <c r="U10" s="3233"/>
      <c r="V10" s="3236"/>
      <c r="W10" s="3235"/>
    </row>
    <row r="11" spans="1:23" s="3141" customFormat="1" ht="13.15" customHeight="1">
      <c r="A11" s="3157">
        <v>3</v>
      </c>
      <c r="B11" s="3683" t="s">
        <v>2877</v>
      </c>
      <c r="C11" s="3684"/>
      <c r="D11" s="3158">
        <f>D12+D14+D15+D16</f>
        <v>0</v>
      </c>
      <c r="E11" s="3161" t="e">
        <f>D11/D6</f>
        <v>#DIV/0!</v>
      </c>
      <c r="F11" s="3142"/>
      <c r="G11" s="3258"/>
      <c r="H11" s="3235"/>
      <c r="I11" s="3236"/>
      <c r="J11" s="3666"/>
      <c r="K11" s="3668"/>
      <c r="L11" s="3253" t="s">
        <v>2969</v>
      </c>
      <c r="M11" s="3254"/>
      <c r="N11" s="3254"/>
      <c r="O11" s="3255"/>
      <c r="P11" s="3255"/>
      <c r="Q11" s="3256">
        <v>365</v>
      </c>
      <c r="R11" s="3257">
        <f t="shared" si="0"/>
        <v>0</v>
      </c>
      <c r="S11" s="3233"/>
      <c r="T11" s="3233"/>
      <c r="U11" s="3233"/>
      <c r="V11" s="3236"/>
      <c r="W11" s="3235"/>
    </row>
    <row r="12" spans="1:23" s="3141" customFormat="1" ht="13.15" customHeight="1">
      <c r="A12" s="3162" t="s">
        <v>2878</v>
      </c>
      <c r="B12" s="3676" t="s">
        <v>2879</v>
      </c>
      <c r="C12" s="3677"/>
      <c r="D12" s="3163">
        <f>ROUND(D13*1.2%*(1-30%),0)</f>
        <v>0</v>
      </c>
      <c r="E12" s="3164">
        <v>1.2E-2</v>
      </c>
      <c r="F12" s="3142" t="s">
        <v>2880</v>
      </c>
      <c r="G12" s="3258"/>
      <c r="H12" s="3235"/>
      <c r="I12" s="3236"/>
      <c r="J12" s="3666"/>
      <c r="K12" s="3668"/>
      <c r="L12" s="3253" t="s">
        <v>2970</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2881</v>
      </c>
      <c r="D13" s="3206"/>
      <c r="E13" s="3167"/>
      <c r="F13" s="3142"/>
      <c r="G13" s="3258"/>
      <c r="H13" s="3235"/>
      <c r="I13" s="3236"/>
      <c r="J13" s="3666"/>
      <c r="K13" s="3668"/>
      <c r="L13" s="3253" t="s">
        <v>2971</v>
      </c>
      <c r="M13" s="3254"/>
      <c r="N13" s="3254"/>
      <c r="O13" s="3255"/>
      <c r="P13" s="3255"/>
      <c r="Q13" s="3256">
        <v>365</v>
      </c>
      <c r="R13" s="3257">
        <f t="shared" si="0"/>
        <v>0</v>
      </c>
      <c r="S13" s="3233"/>
      <c r="T13" s="3233"/>
      <c r="U13" s="3233"/>
      <c r="V13" s="3236"/>
      <c r="W13" s="3235"/>
    </row>
    <row r="14" spans="1:23" s="3141" customFormat="1" ht="13.15" customHeight="1">
      <c r="A14" s="3162" t="s">
        <v>2882</v>
      </c>
      <c r="B14" s="3676" t="s">
        <v>2883</v>
      </c>
      <c r="C14" s="3677"/>
      <c r="D14" s="3163">
        <f>ROUND(E14*B5/10000,0)</f>
        <v>0</v>
      </c>
      <c r="E14" s="3207"/>
      <c r="F14" s="3142" t="s">
        <v>2884</v>
      </c>
      <c r="G14" s="3258"/>
      <c r="H14" s="3235"/>
      <c r="I14" s="3236"/>
      <c r="J14" s="3666"/>
      <c r="K14" s="3669"/>
      <c r="L14" s="3259" t="s">
        <v>2885</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2886</v>
      </c>
      <c r="B15" s="3676" t="s">
        <v>2887</v>
      </c>
      <c r="C15" s="3677"/>
      <c r="D15" s="3163">
        <f>ROUND(D6*E15,0)</f>
        <v>0</v>
      </c>
      <c r="E15" s="3164">
        <v>5.5E-2</v>
      </c>
      <c r="F15" s="3142" t="s">
        <v>2888</v>
      </c>
      <c r="G15" s="3258"/>
      <c r="H15" s="3235"/>
      <c r="I15" s="3236"/>
      <c r="J15" s="3666">
        <v>2</v>
      </c>
      <c r="K15" s="3667" t="s">
        <v>2889</v>
      </c>
      <c r="L15" s="3263" t="s">
        <v>2890</v>
      </c>
      <c r="M15" s="3264" t="s">
        <v>2891</v>
      </c>
      <c r="N15" s="3264" t="s">
        <v>2892</v>
      </c>
      <c r="O15" s="3265" t="s">
        <v>2893</v>
      </c>
      <c r="P15" s="3265" t="s">
        <v>2894</v>
      </c>
      <c r="Q15" s="3202" t="s">
        <v>2895</v>
      </c>
      <c r="R15" s="3266" t="s">
        <v>2896</v>
      </c>
      <c r="S15" s="3233"/>
      <c r="T15" s="3233"/>
      <c r="U15" s="3233"/>
      <c r="V15" s="3236"/>
      <c r="W15" s="3235"/>
    </row>
    <row r="16" spans="1:23" s="3141" customFormat="1" ht="13.15" customHeight="1">
      <c r="A16" s="3162" t="s">
        <v>2897</v>
      </c>
      <c r="B16" s="3676" t="s">
        <v>2898</v>
      </c>
      <c r="C16" s="3677"/>
      <c r="D16" s="3208">
        <f>D6*E16</f>
        <v>0</v>
      </c>
      <c r="E16" s="3209"/>
      <c r="F16" s="3160" t="s">
        <v>2899</v>
      </c>
      <c r="G16" s="3258"/>
      <c r="H16" s="3235"/>
      <c r="I16" s="3236"/>
      <c r="J16" s="3666"/>
      <c r="K16" s="3668"/>
      <c r="L16" s="3253" t="s">
        <v>2972</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678" t="s">
        <v>2900</v>
      </c>
      <c r="C17" s="3679"/>
      <c r="D17" s="3169">
        <f>ROUND(D6*E17,0)</f>
        <v>0</v>
      </c>
      <c r="E17" s="3210"/>
      <c r="F17" s="3170" t="s">
        <v>2901</v>
      </c>
      <c r="G17" s="3311">
        <v>0.1</v>
      </c>
      <c r="H17" s="3235"/>
      <c r="I17" s="3236"/>
      <c r="J17" s="3666"/>
      <c r="K17" s="3668"/>
      <c r="L17" s="3253" t="s">
        <v>2973</v>
      </c>
      <c r="M17" s="3254"/>
      <c r="N17" s="3254"/>
      <c r="O17" s="3255"/>
      <c r="P17" s="3256">
        <v>365</v>
      </c>
      <c r="Q17" s="3254"/>
      <c r="R17" s="3267">
        <f>ROUND(M17*N17*O17*P17/10000,0)</f>
        <v>0</v>
      </c>
      <c r="S17" s="3233"/>
      <c r="T17" s="3233"/>
      <c r="U17" s="3233"/>
      <c r="V17" s="3236"/>
      <c r="W17" s="3235"/>
    </row>
    <row r="18" spans="1:23" s="3141" customFormat="1" ht="13.15" customHeight="1" thickBot="1">
      <c r="A18" s="3151" t="s">
        <v>2902</v>
      </c>
      <c r="B18" s="3152"/>
      <c r="C18" s="3152"/>
      <c r="D18" s="3171">
        <f>ROUND(D6*E18,0)</f>
        <v>0</v>
      </c>
      <c r="E18" s="3211"/>
      <c r="F18" s="3172" t="s">
        <v>2903</v>
      </c>
      <c r="G18" s="3311">
        <v>0.05</v>
      </c>
      <c r="H18" s="3235"/>
      <c r="I18" s="3236"/>
      <c r="J18" s="3666"/>
      <c r="K18" s="3668"/>
      <c r="L18" s="3253" t="s">
        <v>2974</v>
      </c>
      <c r="M18" s="3254"/>
      <c r="N18" s="3254"/>
      <c r="O18" s="3255"/>
      <c r="P18" s="3256">
        <v>365</v>
      </c>
      <c r="Q18" s="3254"/>
      <c r="R18" s="3267">
        <f>ROUND(M18*N18*O18*P18/10000,0)</f>
        <v>0</v>
      </c>
      <c r="S18" s="3233"/>
      <c r="T18" s="3233"/>
      <c r="U18" s="3233"/>
      <c r="V18" s="3236"/>
      <c r="W18" s="3235"/>
    </row>
    <row r="19" spans="1:23" s="3141" customFormat="1" ht="13.15" customHeight="1" thickBot="1">
      <c r="A19" s="3173" t="s">
        <v>2904</v>
      </c>
      <c r="B19" s="3148"/>
      <c r="C19" s="3148"/>
      <c r="D19" s="3148"/>
      <c r="E19" s="3148"/>
      <c r="F19" s="3149"/>
      <c r="G19" s="3258"/>
      <c r="H19" s="3235"/>
      <c r="I19" s="3236"/>
      <c r="J19" s="3666"/>
      <c r="K19" s="3669"/>
      <c r="L19" s="3259" t="s">
        <v>2885</v>
      </c>
      <c r="M19" s="3260"/>
      <c r="N19" s="3260">
        <f>SUM(N16:N18)</f>
        <v>0</v>
      </c>
      <c r="O19" s="3261"/>
      <c r="P19" s="3268" t="s">
        <v>2975</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666">
        <v>3</v>
      </c>
      <c r="K20" s="3667" t="s">
        <v>2905</v>
      </c>
      <c r="L20" s="3263" t="s">
        <v>2906</v>
      </c>
      <c r="M20" s="3264" t="s">
        <v>2907</v>
      </c>
      <c r="N20" s="3270" t="s">
        <v>2908</v>
      </c>
      <c r="O20" s="3265" t="s">
        <v>2909</v>
      </c>
      <c r="P20" s="3207" t="s">
        <v>2894</v>
      </c>
      <c r="Q20" s="3202" t="s">
        <v>2895</v>
      </c>
      <c r="R20" s="3266" t="s">
        <v>2896</v>
      </c>
      <c r="S20" s="3271"/>
      <c r="T20" s="3271"/>
      <c r="U20" s="3271"/>
      <c r="V20" s="3236"/>
      <c r="W20" s="3235"/>
    </row>
    <row r="21" spans="1:23" s="3141" customFormat="1" ht="13.15" customHeight="1">
      <c r="A21" s="3151"/>
      <c r="B21" s="3152"/>
      <c r="C21" s="3175" t="s">
        <v>2910</v>
      </c>
      <c r="D21" s="3176" t="s">
        <v>2911</v>
      </c>
      <c r="E21" s="3177" t="s">
        <v>2912</v>
      </c>
      <c r="F21" s="3174"/>
      <c r="G21" s="3258"/>
      <c r="H21" s="3235"/>
      <c r="I21" s="3236"/>
      <c r="J21" s="3666"/>
      <c r="K21" s="3668"/>
      <c r="L21" s="3263" t="s">
        <v>2913</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2914</v>
      </c>
      <c r="D22" s="3213" t="s">
        <v>2915</v>
      </c>
      <c r="E22" s="3214" t="s">
        <v>2916</v>
      </c>
      <c r="F22" s="3174"/>
      <c r="G22" s="3273"/>
      <c r="H22" s="3235"/>
      <c r="I22" s="3236"/>
      <c r="J22" s="3666"/>
      <c r="K22" s="3668"/>
      <c r="L22" s="3263" t="s">
        <v>2917</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2918</v>
      </c>
      <c r="C23" s="3179">
        <f>D6</f>
        <v>0</v>
      </c>
      <c r="D23" s="3180">
        <f>C23*(1+D24)</f>
        <v>0</v>
      </c>
      <c r="E23" s="3181">
        <f>D23*(1+E24)</f>
        <v>0</v>
      </c>
      <c r="F23" s="3182"/>
      <c r="G23" s="3274"/>
      <c r="H23" s="3235"/>
      <c r="I23" s="3236"/>
      <c r="J23" s="3666"/>
      <c r="K23" s="3668"/>
      <c r="L23" s="3263" t="s">
        <v>2919</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2920</v>
      </c>
      <c r="C24" s="3185"/>
      <c r="D24" s="3215"/>
      <c r="E24" s="3216"/>
      <c r="F24" s="3186"/>
      <c r="G24" s="3274"/>
      <c r="H24" s="3235"/>
      <c r="I24" s="3236"/>
      <c r="J24" s="3666"/>
      <c r="K24" s="3669"/>
      <c r="L24" s="3259" t="s">
        <v>2885</v>
      </c>
      <c r="M24" s="3260">
        <f>SUM(M21:M23)</f>
        <v>0</v>
      </c>
      <c r="N24" s="3260"/>
      <c r="O24" s="3261"/>
      <c r="P24" s="3268" t="s">
        <v>2975</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2921</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2922</v>
      </c>
      <c r="C26" s="3179">
        <f>D7</f>
        <v>0</v>
      </c>
      <c r="D26" s="3180">
        <f>D23*D27</f>
        <v>0</v>
      </c>
      <c r="E26" s="3181">
        <f>E23*E27</f>
        <v>0</v>
      </c>
      <c r="F26" s="3182"/>
      <c r="G26" s="3274"/>
      <c r="H26" s="3235"/>
      <c r="I26" s="3236"/>
      <c r="J26" s="3670">
        <v>5</v>
      </c>
      <c r="K26" s="3282" t="s">
        <v>2923</v>
      </c>
      <c r="L26" s="3283"/>
      <c r="M26" s="3284"/>
      <c r="N26" s="3285" t="s">
        <v>2924</v>
      </c>
      <c r="O26" s="3285" t="s">
        <v>2925</v>
      </c>
      <c r="P26" s="3286" t="s">
        <v>2926</v>
      </c>
      <c r="Q26" s="3286" t="s">
        <v>2927</v>
      </c>
      <c r="R26" s="3242" t="s">
        <v>2896</v>
      </c>
      <c r="S26" s="3287"/>
      <c r="T26" s="3287"/>
      <c r="U26" s="3287"/>
      <c r="V26" s="3280"/>
      <c r="W26" s="3281"/>
    </row>
    <row r="27" spans="1:23" s="3141" customFormat="1" ht="13.15" customHeight="1">
      <c r="A27" s="3183"/>
      <c r="B27" s="3184" t="s">
        <v>2928</v>
      </c>
      <c r="C27" s="3188" t="e">
        <f>E7</f>
        <v>#DIV/0!</v>
      </c>
      <c r="D27" s="3215"/>
      <c r="E27" s="3216"/>
      <c r="F27" s="3186"/>
      <c r="G27" s="3274"/>
      <c r="H27" s="3281"/>
      <c r="I27" s="3280"/>
      <c r="J27" s="3671"/>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2929</v>
      </c>
      <c r="F28" s="3186"/>
      <c r="G28" s="3273"/>
      <c r="H28" s="3281"/>
      <c r="I28" s="3280"/>
      <c r="J28" s="3293">
        <v>6</v>
      </c>
      <c r="K28" s="3294" t="s">
        <v>2930</v>
      </c>
      <c r="L28" s="3295" t="s">
        <v>2931</v>
      </c>
      <c r="M28" s="3296"/>
      <c r="N28" s="3295" t="s">
        <v>2932</v>
      </c>
      <c r="O28" s="3297"/>
      <c r="P28" s="3295" t="s">
        <v>2933</v>
      </c>
      <c r="Q28" s="3298">
        <v>1.4999999999999999E-2</v>
      </c>
      <c r="R28" s="3299"/>
      <c r="S28" s="3271"/>
      <c r="T28" s="3271"/>
      <c r="U28" s="3271"/>
      <c r="V28" s="3280"/>
      <c r="W28" s="3281"/>
    </row>
    <row r="29" spans="1:23" s="3187" customFormat="1" ht="13.15" customHeight="1">
      <c r="A29" s="3178">
        <v>3</v>
      </c>
      <c r="B29" s="3150" t="s">
        <v>2934</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2928</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2935</v>
      </c>
      <c r="K31" s="3231"/>
      <c r="L31" s="3231"/>
      <c r="M31" s="3231"/>
      <c r="N31" s="3231"/>
      <c r="O31" s="3231"/>
      <c r="P31" s="3231"/>
      <c r="Q31" s="3231"/>
      <c r="R31" s="3232"/>
      <c r="S31" s="3271"/>
      <c r="T31" s="3233"/>
      <c r="U31" s="3233"/>
      <c r="V31" s="3280"/>
      <c r="W31" s="3281"/>
    </row>
    <row r="32" spans="1:23" s="3187" customFormat="1" ht="13.15" customHeight="1">
      <c r="A32" s="3178">
        <v>4</v>
      </c>
      <c r="B32" s="3150" t="s">
        <v>2936</v>
      </c>
      <c r="C32" s="3179">
        <f>C23-C26-C29</f>
        <v>0</v>
      </c>
      <c r="D32" s="3180">
        <f>D23-D26-D29</f>
        <v>0</v>
      </c>
      <c r="E32" s="3181">
        <f>E23-E26-E29</f>
        <v>0</v>
      </c>
      <c r="F32" s="3182"/>
      <c r="G32" s="3273"/>
      <c r="H32" s="3235"/>
      <c r="I32" s="3236"/>
      <c r="J32" s="3672" t="s">
        <v>2937</v>
      </c>
      <c r="K32" s="3673"/>
      <c r="L32" s="3237" t="s">
        <v>2938</v>
      </c>
      <c r="M32" s="3237" t="s">
        <v>2841</v>
      </c>
      <c r="N32" s="3237" t="s">
        <v>2842</v>
      </c>
      <c r="O32" s="3237" t="s">
        <v>2843</v>
      </c>
      <c r="P32" s="3237" t="s">
        <v>2844</v>
      </c>
      <c r="Q32" s="3238" t="s">
        <v>2939</v>
      </c>
      <c r="R32" s="3300" t="s">
        <v>2940</v>
      </c>
      <c r="S32" s="3271"/>
      <c r="T32" s="3233"/>
      <c r="U32" s="3233"/>
      <c r="V32" s="3280"/>
      <c r="W32" s="3281"/>
    </row>
    <row r="33" spans="1:23" s="3141" customFormat="1" ht="13.15" customHeight="1">
      <c r="A33" s="3178"/>
      <c r="B33" s="3150"/>
      <c r="C33" s="3179"/>
      <c r="D33" s="3190"/>
      <c r="E33" s="3191"/>
      <c r="F33" s="3182"/>
      <c r="G33" s="3273"/>
      <c r="H33" s="3281"/>
      <c r="I33" s="3280"/>
      <c r="J33" s="3674" t="s">
        <v>2941</v>
      </c>
      <c r="K33" s="3675"/>
      <c r="L33" s="3240"/>
      <c r="M33" s="3240"/>
      <c r="N33" s="3240"/>
      <c r="O33" s="3240"/>
      <c r="P33" s="3240"/>
      <c r="Q33" s="3241"/>
      <c r="R33" s="3301">
        <f>SUM(L33:Q33)</f>
        <v>0</v>
      </c>
      <c r="S33" s="3271"/>
      <c r="T33" s="3233"/>
      <c r="U33" s="3233"/>
      <c r="V33" s="3236"/>
      <c r="W33" s="3235"/>
    </row>
    <row r="34" spans="1:23" s="3141" customFormat="1" ht="13.15" customHeight="1">
      <c r="A34" s="3178">
        <v>5</v>
      </c>
      <c r="B34" s="3150" t="s">
        <v>2942</v>
      </c>
      <c r="C34" s="3218"/>
      <c r="D34" s="3219"/>
      <c r="E34" s="3220"/>
      <c r="F34" s="3182"/>
      <c r="G34" s="3273"/>
      <c r="H34" s="3281"/>
      <c r="I34" s="3280"/>
      <c r="J34" s="3674" t="s">
        <v>2943</v>
      </c>
      <c r="K34" s="3675"/>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2944</v>
      </c>
      <c r="C35" s="3221"/>
      <c r="D35" s="3222"/>
      <c r="E35" s="3223"/>
      <c r="F35" s="3182"/>
      <c r="G35" s="3303"/>
      <c r="H35" s="3235"/>
      <c r="I35" s="3280"/>
      <c r="J35" s="3246" t="s">
        <v>2945</v>
      </c>
      <c r="K35" s="3247"/>
      <c r="L35" s="3247"/>
      <c r="M35" s="3248"/>
      <c r="N35" s="3248"/>
      <c r="O35" s="3248"/>
      <c r="P35" s="3248"/>
      <c r="Q35" s="3248"/>
      <c r="R35" s="3304">
        <f>R40+R41+R43</f>
        <v>0</v>
      </c>
      <c r="S35" s="3271"/>
      <c r="T35" s="3233" t="s">
        <v>2946</v>
      </c>
      <c r="U35" s="3233"/>
      <c r="V35" s="3236"/>
      <c r="W35" s="3235"/>
    </row>
    <row r="36" spans="1:23" s="3141" customFormat="1" ht="13.15" customHeight="1" thickBot="1">
      <c r="A36" s="3178">
        <v>7</v>
      </c>
      <c r="B36" s="3192" t="s">
        <v>2947</v>
      </c>
      <c r="C36" s="3224"/>
      <c r="D36" s="3225"/>
      <c r="E36" s="3226"/>
      <c r="F36" s="3193">
        <f>C36+D36+E36</f>
        <v>0</v>
      </c>
      <c r="G36" s="3273"/>
      <c r="H36" s="3235"/>
      <c r="I36" s="3236"/>
      <c r="J36" s="3666">
        <v>1</v>
      </c>
      <c r="K36" s="3667" t="s">
        <v>2948</v>
      </c>
      <c r="L36" s="3250"/>
      <c r="M36" s="3251"/>
      <c r="N36" s="3251"/>
      <c r="O36" s="3251"/>
      <c r="P36" s="3251"/>
      <c r="Q36" s="3251"/>
      <c r="R36" s="3242" t="s">
        <v>2896</v>
      </c>
      <c r="S36" s="3271"/>
      <c r="T36" s="3233" t="s">
        <v>2949</v>
      </c>
      <c r="U36" s="3233"/>
      <c r="V36" s="3236"/>
      <c r="W36" s="3235"/>
    </row>
    <row r="37" spans="1:23" s="3141" customFormat="1" ht="13.15" customHeight="1">
      <c r="A37" s="3178"/>
      <c r="B37" s="3150"/>
      <c r="C37" s="3150"/>
      <c r="D37" s="3150"/>
      <c r="E37" s="3150"/>
      <c r="F37" s="3182"/>
      <c r="G37" s="3273"/>
      <c r="H37" s="3235"/>
      <c r="I37" s="3236"/>
      <c r="J37" s="3666"/>
      <c r="K37" s="3668"/>
      <c r="L37" s="3263"/>
      <c r="M37" s="3264"/>
      <c r="N37" s="3202"/>
      <c r="O37" s="3265"/>
      <c r="P37" s="3265"/>
      <c r="Q37" s="3207"/>
      <c r="R37" s="3305"/>
      <c r="S37" s="3271"/>
      <c r="T37" s="3233" t="s">
        <v>2950</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666"/>
      <c r="K38" s="3668"/>
      <c r="L38" s="3263"/>
      <c r="M38" s="3264"/>
      <c r="N38" s="3202"/>
      <c r="O38" s="3265"/>
      <c r="P38" s="3265"/>
      <c r="Q38" s="3207"/>
      <c r="R38" s="3305"/>
      <c r="S38" s="3271"/>
      <c r="T38" s="3233" t="s">
        <v>2872</v>
      </c>
      <c r="U38" s="3233"/>
      <c r="V38" s="3236"/>
      <c r="W38" s="3235"/>
    </row>
    <row r="39" spans="1:23" s="3141" customFormat="1" ht="13.15" customHeight="1">
      <c r="A39" s="3178">
        <v>9</v>
      </c>
      <c r="B39" s="3150" t="s">
        <v>2951</v>
      </c>
      <c r="C39" s="3163" t="e">
        <f>C38</f>
        <v>#DIV/0!</v>
      </c>
      <c r="D39" s="3150">
        <f>D38/(1+D34)^C36</f>
        <v>0</v>
      </c>
      <c r="E39" s="3150">
        <f>E38/(1+E34)^(C36+D36)</f>
        <v>0</v>
      </c>
      <c r="F39" s="3182"/>
      <c r="G39" s="3306"/>
      <c r="H39" s="3235"/>
      <c r="I39" s="3236"/>
      <c r="J39" s="3666"/>
      <c r="K39" s="3668"/>
      <c r="L39" s="3263"/>
      <c r="M39" s="3264"/>
      <c r="N39" s="3202"/>
      <c r="O39" s="3265"/>
      <c r="P39" s="3265"/>
      <c r="Q39" s="3207"/>
      <c r="R39" s="3305"/>
      <c r="S39" s="3271"/>
      <c r="T39" s="3233"/>
      <c r="U39" s="3233"/>
      <c r="V39" s="3236"/>
      <c r="W39" s="3235"/>
    </row>
    <row r="40" spans="1:23" s="3141" customFormat="1" ht="13.15" customHeight="1">
      <c r="A40" s="3194">
        <v>10</v>
      </c>
      <c r="B40" s="3150" t="s">
        <v>2952</v>
      </c>
      <c r="C40" s="3195" t="e">
        <f>C39+D39+E39</f>
        <v>#DIV/0!</v>
      </c>
      <c r="D40" s="3196"/>
      <c r="E40" s="3196"/>
      <c r="F40" s="3197"/>
      <c r="G40" s="3273"/>
      <c r="H40" s="3235"/>
      <c r="I40" s="3236"/>
      <c r="J40" s="3666"/>
      <c r="K40" s="3669"/>
      <c r="L40" s="3259" t="s">
        <v>2953</v>
      </c>
      <c r="M40" s="3260"/>
      <c r="N40" s="3260"/>
      <c r="O40" s="3261"/>
      <c r="P40" s="3261"/>
      <c r="Q40" s="3262"/>
      <c r="R40" s="3239">
        <f>SUM(R37:R39)</f>
        <v>0</v>
      </c>
      <c r="S40" s="3271"/>
      <c r="T40" s="3233"/>
      <c r="U40" s="3233"/>
      <c r="V40" s="3236"/>
      <c r="W40" s="3235"/>
    </row>
    <row r="41" spans="1:23" s="3141" customFormat="1" ht="13.15" customHeight="1" thickBot="1">
      <c r="A41" s="3198">
        <v>11</v>
      </c>
      <c r="B41" s="3199" t="s">
        <v>2954</v>
      </c>
      <c r="C41" s="3199" t="e">
        <f>ROUND(C40*10000/B4,0)</f>
        <v>#DIV/0!</v>
      </c>
      <c r="D41" s="3200"/>
      <c r="E41" s="3200"/>
      <c r="F41" s="3201"/>
      <c r="G41" s="3307"/>
      <c r="H41" s="3235"/>
      <c r="I41" s="3236"/>
      <c r="J41" s="3275">
        <v>2</v>
      </c>
      <c r="K41" s="3276" t="s">
        <v>2955</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670">
        <v>3</v>
      </c>
      <c r="K42" s="3282" t="s">
        <v>2956</v>
      </c>
      <c r="L42" s="3283"/>
      <c r="M42" s="3284"/>
      <c r="N42" s="3285" t="s">
        <v>2957</v>
      </c>
      <c r="O42" s="3285" t="s">
        <v>2958</v>
      </c>
      <c r="P42" s="3286" t="s">
        <v>2959</v>
      </c>
      <c r="Q42" s="3286" t="s">
        <v>2960</v>
      </c>
      <c r="R42" s="3242" t="s">
        <v>2863</v>
      </c>
      <c r="S42" s="3287"/>
      <c r="T42" s="3287"/>
      <c r="U42" s="3233"/>
      <c r="V42" s="3236"/>
      <c r="W42" s="3235"/>
    </row>
    <row r="43" spans="1:23" ht="13.15" customHeight="1">
      <c r="A43" s="3141"/>
      <c r="B43" s="3141"/>
      <c r="C43" s="3141"/>
      <c r="D43" s="3141"/>
      <c r="E43" s="3141"/>
      <c r="F43" s="3141"/>
      <c r="I43" s="3228"/>
      <c r="J43" s="3671"/>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2961</v>
      </c>
      <c r="L44" s="3310" t="s">
        <v>2962</v>
      </c>
      <c r="M44" s="3296"/>
      <c r="N44" s="3310" t="s">
        <v>2963</v>
      </c>
      <c r="O44" s="3296"/>
      <c r="P44" s="3310" t="s">
        <v>2964</v>
      </c>
      <c r="Q44" s="3298">
        <v>1.4999999999999999E-2</v>
      </c>
      <c r="R44" s="329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A11" sqref="A11:D11"/>
      <selection pane="bottomLeft" activeCell="V10" sqref="V1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 ca="1">B23</f>
        <v>1082</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f ca="1">B24</f>
        <v>27502</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88" t="s">
        <v>2156</v>
      </c>
      <c r="D4" s="3689"/>
      <c r="E4" s="3689"/>
      <c r="F4" s="3689"/>
      <c r="G4" s="3689"/>
      <c r="H4" s="3689"/>
      <c r="I4" s="3689"/>
      <c r="J4" s="3689"/>
      <c r="K4" s="3689"/>
      <c r="L4" s="3689"/>
      <c r="M4" s="3689"/>
      <c r="N4" s="3689"/>
      <c r="O4" s="3689"/>
      <c r="P4" s="3689"/>
      <c r="Q4" s="3689"/>
      <c r="R4" s="3689"/>
      <c r="S4" s="3690"/>
      <c r="T4" s="575" t="s">
        <v>2157</v>
      </c>
      <c r="U4" s="999"/>
      <c r="V4" s="999"/>
      <c r="X4" s="999"/>
      <c r="Y4" s="999"/>
    </row>
    <row r="5" spans="1:44" s="587" customFormat="1" ht="38.25">
      <c r="A5" s="1003"/>
      <c r="B5" s="583" t="s">
        <v>2158</v>
      </c>
      <c r="C5" s="584" t="str">
        <f t="shared" ref="C5:L5" si="0">C6&amp;"(含)"&amp;"-"&amp;D6</f>
        <v>0(含)-100</v>
      </c>
      <c r="D5" s="585" t="str">
        <f t="shared" si="0"/>
        <v>100(含)-200</v>
      </c>
      <c r="E5" s="585" t="str">
        <f t="shared" si="0"/>
        <v>200(含)-300</v>
      </c>
      <c r="F5" s="585" t="str">
        <f t="shared" si="0"/>
        <v>300(含)-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100</v>
      </c>
      <c r="E6" s="590">
        <v>200</v>
      </c>
      <c r="F6" s="590">
        <v>300</v>
      </c>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96</v>
      </c>
      <c r="D7" s="884">
        <v>98</v>
      </c>
      <c r="E7" s="884">
        <v>100</v>
      </c>
      <c r="F7" s="884">
        <v>98</v>
      </c>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1" t="s">
        <v>2165</v>
      </c>
      <c r="B20" s="1522" t="s">
        <v>2166</v>
      </c>
      <c r="C20" s="3319" t="s">
        <v>3017</v>
      </c>
      <c r="D20" s="3320" t="s">
        <v>3018</v>
      </c>
      <c r="E20" s="3320" t="s">
        <v>3019</v>
      </c>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v>100</v>
      </c>
      <c r="D21" s="1019">
        <v>97</v>
      </c>
      <c r="E21" s="1019">
        <v>94</v>
      </c>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23" t="s">
        <v>2167</v>
      </c>
      <c r="G22" s="1293"/>
      <c r="H22" s="1293"/>
      <c r="I22" s="1293"/>
      <c r="J22" s="1294"/>
      <c r="K22" s="37"/>
      <c r="L22" s="37"/>
      <c r="M22" s="37"/>
      <c r="N22" s="37"/>
      <c r="O22" s="37"/>
      <c r="P22" s="37"/>
      <c r="Q22" s="37"/>
      <c r="R22" s="645"/>
      <c r="S22" s="31"/>
      <c r="T22" s="31"/>
      <c r="U22" s="999"/>
      <c r="V22" s="1000"/>
      <c r="W22" s="662"/>
      <c r="X22" s="662"/>
      <c r="Y22" s="662"/>
      <c r="Z22" s="662"/>
    </row>
    <row r="23" spans="1:45" ht="16.5" thickBot="1">
      <c r="A23" s="81" t="s">
        <v>2168</v>
      </c>
      <c r="B23" s="224">
        <f ca="1">IF(F23="——",IF(C23="万元",T25,S25),IF(C23="万元",T25-H23,S25-H23))</f>
        <v>1082</v>
      </c>
      <c r="C23" s="1524" t="str">
        <f>'数据-取费表'!B3</f>
        <v>万元</v>
      </c>
      <c r="D23" s="37"/>
      <c r="E23" s="37"/>
      <c r="F23" s="1525" t="s">
        <v>1184</v>
      </c>
      <c r="G23" s="1295"/>
      <c r="H23" s="575" t="e">
        <f ca="1">SUMIF(INDIRECT("'"&amp;J23&amp;"'"&amp;"!A:A"),"承租人权益价值",INDIRECT("'"&amp;J23&amp;"'"&amp;"!c:c"))</f>
        <v>#REF!</v>
      </c>
      <c r="I23" s="575" t="str">
        <f>C2</f>
        <v>万元</v>
      </c>
      <c r="J23" s="1526"/>
      <c r="K23" s="37"/>
      <c r="L23" s="37"/>
      <c r="M23" s="37"/>
      <c r="N23" s="37"/>
      <c r="O23" s="37"/>
      <c r="P23" s="37"/>
      <c r="Q23" s="37"/>
      <c r="R23" s="645"/>
      <c r="S23" s="31"/>
      <c r="T23" s="31"/>
      <c r="U23" s="999"/>
      <c r="V23" s="1000"/>
      <c r="W23" s="662"/>
      <c r="X23" s="662"/>
      <c r="Y23" s="662"/>
      <c r="Z23" s="662"/>
    </row>
    <row r="24" spans="1:45" ht="15.75">
      <c r="A24" s="1524" t="s">
        <v>2169</v>
      </c>
      <c r="B24" s="224">
        <f ca="1">ROUND(B23*10000/B25,0)</f>
        <v>27502</v>
      </c>
      <c r="C24" s="864"/>
      <c r="D24" s="37"/>
      <c r="E24" s="37"/>
      <c r="F24" s="37"/>
      <c r="G24" s="37"/>
      <c r="H24" s="37"/>
      <c r="I24" s="37"/>
      <c r="J24" s="37"/>
      <c r="K24" s="37"/>
      <c r="L24" s="37"/>
      <c r="M24" s="37"/>
      <c r="N24" s="37"/>
      <c r="O24" s="37"/>
      <c r="P24" s="37"/>
      <c r="Q24" s="37"/>
      <c r="R24" s="645"/>
      <c r="S24" s="13" t="s">
        <v>2170</v>
      </c>
      <c r="T24" s="1301" t="s">
        <v>2171</v>
      </c>
      <c r="U24" s="2214" t="s">
        <v>2172</v>
      </c>
      <c r="V24" s="2955"/>
      <c r="W24" s="2956" t="s">
        <v>2173</v>
      </c>
      <c r="X24" s="2214" t="s">
        <v>2174</v>
      </c>
      <c r="Y24" s="2955"/>
      <c r="Z24" s="2957" t="s">
        <v>2173</v>
      </c>
    </row>
    <row r="25" spans="1:45">
      <c r="A25" s="250" t="s">
        <v>2175</v>
      </c>
      <c r="B25" s="13">
        <f>SUM(B27:B10000)</f>
        <v>393.43</v>
      </c>
      <c r="C25" s="3685" t="s">
        <v>45</v>
      </c>
      <c r="D25" s="3686"/>
      <c r="E25" s="3686"/>
      <c r="F25" s="3686"/>
      <c r="G25" s="3686"/>
      <c r="H25" s="3686"/>
      <c r="I25" s="3686"/>
      <c r="J25" s="3686"/>
      <c r="K25" s="3686"/>
      <c r="L25" s="3686"/>
      <c r="M25" s="3686"/>
      <c r="N25" s="3686"/>
      <c r="O25" s="3686"/>
      <c r="P25" s="3686"/>
      <c r="Q25" s="3687"/>
      <c r="R25" s="597">
        <f ca="1">IF(C23="万元",ROUND(T25*10000/B25,0),ROUND(S25/B25,0))</f>
        <v>27502</v>
      </c>
      <c r="S25" s="13">
        <f ca="1">SUM(S27:S10000)</f>
        <v>10817751</v>
      </c>
      <c r="T25" s="13">
        <f ca="1">SUM(T27:T10000)</f>
        <v>1082</v>
      </c>
      <c r="U25" s="17">
        <f>SUM(U27:U10000)</f>
        <v>0</v>
      </c>
      <c r="V25" s="17">
        <f>SUM(V27:V10000)</f>
        <v>0</v>
      </c>
      <c r="W25" s="2959"/>
      <c r="X25" s="17">
        <f>SUM(X27:X10000)</f>
        <v>0</v>
      </c>
      <c r="Y25" s="17">
        <f>SUM(Y27:Y10000)</f>
        <v>0</v>
      </c>
      <c r="Z25" s="1527"/>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2301</v>
      </c>
      <c r="B27" s="600">
        <f>'数据-取费表'!E5</f>
        <v>125.51</v>
      </c>
      <c r="C27" s="901">
        <v>1</v>
      </c>
      <c r="D27" s="601"/>
      <c r="E27" s="901">
        <v>1</v>
      </c>
      <c r="F27" s="601"/>
      <c r="G27" s="901">
        <v>1</v>
      </c>
      <c r="H27" s="601"/>
      <c r="I27" s="901">
        <v>1</v>
      </c>
      <c r="J27" s="601"/>
      <c r="K27" s="901">
        <v>1</v>
      </c>
      <c r="L27" s="601"/>
      <c r="M27" s="901">
        <v>1</v>
      </c>
      <c r="N27" s="601"/>
      <c r="O27" s="901">
        <v>1</v>
      </c>
      <c r="P27" s="3321" t="s">
        <v>3020</v>
      </c>
      <c r="Q27" s="901">
        <v>1</v>
      </c>
      <c r="R27" s="907">
        <f ca="1">'结果表 (1修多)'!G20</f>
        <v>27496</v>
      </c>
      <c r="S27" s="600">
        <f ca="1">ROUND(R27*B27,0)</f>
        <v>3451023</v>
      </c>
      <c r="T27" s="600">
        <f ca="1">ROUND(R27*B27/10000,0)</f>
        <v>345</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2302</v>
      </c>
      <c r="B28" s="20">
        <v>114.18</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3321" t="s">
        <v>3020</v>
      </c>
      <c r="Q28" s="13">
        <f t="shared" ref="Q28:Q91" si="21">(SUMIF($20:$20,P28,$21:$21)-SUMIF($20:$20,$P$27,$21:$21)+100)/100</f>
        <v>1</v>
      </c>
      <c r="R28" s="597">
        <f ca="1">IF(B28="",0,ROUND($R$27*C28*E28*G28*I28*K28*M28*O28*Q28,0))</f>
        <v>27496</v>
      </c>
      <c r="S28" s="250">
        <f ca="1">ROUND(R28*B28,0)</f>
        <v>3139493</v>
      </c>
      <c r="T28" s="901">
        <f ca="1">ROUND(R28*B28/10000,0)</f>
        <v>314</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v>2303</v>
      </c>
      <c r="B29" s="20">
        <v>153.74</v>
      </c>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3321" t="s">
        <v>3017</v>
      </c>
      <c r="Q29" s="13">
        <f t="shared" si="21"/>
        <v>1</v>
      </c>
      <c r="R29" s="597">
        <f t="shared" ref="R29:R92" ca="1" si="26">IF(B29="",0,ROUND($R$27*C29*E29*G29*I29*K29*M29*O29*Q29,0))</f>
        <v>27496</v>
      </c>
      <c r="S29" s="250">
        <f t="shared" ref="S29:S92" ca="1" si="27">ROUND(R29*B29,0)</f>
        <v>4227235</v>
      </c>
      <c r="T29" s="901">
        <f t="shared" ref="T29:T92" ca="1" si="28">ROUND(R29*B29/10000,0)</f>
        <v>423</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0</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0</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0</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0</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0</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0</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0</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0</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0</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0</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0</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0</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0</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0</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0</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0</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0</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0</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0</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0</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0</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0</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0</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0</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0</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0</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0</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0</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0</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0</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0</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0</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0</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0</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0</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0</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0</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0</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0</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0</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0</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0</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0</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0</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0</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0</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0</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0</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0</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0</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0</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0</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0</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0</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0</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0</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0</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0</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0</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0</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0</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0</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0</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0</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0</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0</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0</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0</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0</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0</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0</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0</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0</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0</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0</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0</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0</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0</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0</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0</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0</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0</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0</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0</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0</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0</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0</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0</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0</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0</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0</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0</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0</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0</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0</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0</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0</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0</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0</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0</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0</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0</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0</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0</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0</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0</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0</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0</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0</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0</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0</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0</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0</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0</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0</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0</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0</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0</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0</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0</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0</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0</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0</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0</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0</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0</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0</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0</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0</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0</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0</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0</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0</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0</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0</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0</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0</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0</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0</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0</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0</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0</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0</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0</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0</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0</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0</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0</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0</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0</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0</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0</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0</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0</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0</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0</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0</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0</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0</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0</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0</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0</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0</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0</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0</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0</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0</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0</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0</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0</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0</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0</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0</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0</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0</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0</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0</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0</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0</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0</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0</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0</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0</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0</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0</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0</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0</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0</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0</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0</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0</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0</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0</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0</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0</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0</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0</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0</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0</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0</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0</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0</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0</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0</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0</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0</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0</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0</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0</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0</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0</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0</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0</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0</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0</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0</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0</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0</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0</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0</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0</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0</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0</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0</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0</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0</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0</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0</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0</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0</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0</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0</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0</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0</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0</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0</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0</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0</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0</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0</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0</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0</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0</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0</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0</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0</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0</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0</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0</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0</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0</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0</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0</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0</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0</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0</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0</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0</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0</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0</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0</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0</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0</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0</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0</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0</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0</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0</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0</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0</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0</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0</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0</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0</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0</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0</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0</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0</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0</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0</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0</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0</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0</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0</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0</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0</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0</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0</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0</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0</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0</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0</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0</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0</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0</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0</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0</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0</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0</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0</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0</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0</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0</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0</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0</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0</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0</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0</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0</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0</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0</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0</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0</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0</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0</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0</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0</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0</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0</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0</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0</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0</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0</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0</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0</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0</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0</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0</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0</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0</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0</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0</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0</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0</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0</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0</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0</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0</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0</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0</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0</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0</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0</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0</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0</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0</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0</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0</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0</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0</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0</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0</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0</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0</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0</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0</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0</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0</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0</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0</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0</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0</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0</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0</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0</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0</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0</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0</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0</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0</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0</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0</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0</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0</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0</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0</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0</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0</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0</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0</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0</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0</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0</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0</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0</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0</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0</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0</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0</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0</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0</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0</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0</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0</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0</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0</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0</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0</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0</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0</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0</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0</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0</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0</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0</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0</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0</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0</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0</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0</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0</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0</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0</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0</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0</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0</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0</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0</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0</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0</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0</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0</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0</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0</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0</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0</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0</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0</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0</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0</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0</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0</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0</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0</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0</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0</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0</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0</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0</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0</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0</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0</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0</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0</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0</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0</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0</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0</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0</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0</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0</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0</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0</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0</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0</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0</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0</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0</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0</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0</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0</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0</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0</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0</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0</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0</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0</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0</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0</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0</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0</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0</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0</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0</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0</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0</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0</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0</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0</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0</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0</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0</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0</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0</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0</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0</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0</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0</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0</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0</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0</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1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2185</v>
      </c>
      <c r="C1" s="1608"/>
      <c r="D1" s="1609"/>
      <c r="E1" s="1610" t="s">
        <v>1167</v>
      </c>
      <c r="F1" s="1611" t="s">
        <v>2186</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1857</v>
      </c>
      <c r="B2" s="1619" t="e">
        <f ca="1">IF(D2="——",IF(C2="元",ROUND(C49*D3,0),ROUND(C49*D3/10000,0)),IF(C2="元",ROUND(C49*D3,0),ROUND(C49*D3/10000,0))-E2)</f>
        <v>#DIV/0!</v>
      </c>
      <c r="C2" s="1620" t="str">
        <f>'数据-取费表'!B3</f>
        <v>万元</v>
      </c>
      <c r="D2" s="1621"/>
      <c r="E2" s="1622" t="e">
        <f ca="1">SUMIF(INDIRECT("'"&amp;G2&amp;"'"&amp;"!A:A"),"承租人权益价值",INDIRECT("'"&amp;G2&amp;"'"&amp;"!c:c"))</f>
        <v>#REF!</v>
      </c>
      <c r="F2" s="1623" t="str">
        <f>C2</f>
        <v>万元</v>
      </c>
      <c r="G2" s="1624"/>
      <c r="H2" s="2960"/>
      <c r="I2" s="2960"/>
      <c r="J2" s="2960"/>
      <c r="K2" s="2961"/>
      <c r="L2" s="2962"/>
      <c r="M2" s="2960"/>
      <c r="N2" s="2960"/>
      <c r="O2" s="2960"/>
      <c r="P2" s="1625"/>
      <c r="Q2" s="1626"/>
      <c r="R2" s="1626"/>
      <c r="S2" s="1626"/>
      <c r="T2" s="1626"/>
      <c r="U2" s="1626"/>
      <c r="V2" s="1626"/>
      <c r="W2" s="1626"/>
      <c r="X2" s="1626"/>
      <c r="Y2" s="1626"/>
      <c r="Z2" s="1626"/>
      <c r="AA2" s="1626"/>
      <c r="AB2" s="1626"/>
      <c r="AC2" s="1627"/>
    </row>
    <row r="3" spans="1:29" s="277" customFormat="1" ht="28.5" customHeight="1" thickBot="1">
      <c r="A3" s="1628" t="s">
        <v>1858</v>
      </c>
      <c r="B3" s="1629" t="e">
        <f ca="1">ROUND(IF(D2="——",C49,IF(C2="万元",B2*10000/D3,B2/D3)),0)</f>
        <v>#DIV/0!</v>
      </c>
      <c r="C3" s="1629" t="s">
        <v>2187</v>
      </c>
      <c r="D3" s="1629">
        <f>IF(C1="仅计算典型户型",'数据-取费表'!E5,'数据-取费表'!B5)</f>
        <v>393.43</v>
      </c>
      <c r="E3" s="2960"/>
      <c r="F3" s="2963"/>
      <c r="G3" s="2960"/>
      <c r="H3" s="2960"/>
      <c r="I3" s="2960"/>
      <c r="J3" s="2960"/>
      <c r="K3" s="2961"/>
      <c r="L3" s="2962"/>
      <c r="M3" s="2960"/>
      <c r="N3" s="2960"/>
      <c r="O3" s="2960"/>
      <c r="P3" s="1630"/>
      <c r="Q3" s="1626"/>
      <c r="R3" s="1626"/>
      <c r="S3" s="1626"/>
      <c r="T3" s="1626"/>
      <c r="U3" s="1626"/>
      <c r="V3" s="1626"/>
      <c r="W3" s="1626"/>
      <c r="X3" s="1626"/>
      <c r="Y3" s="1626"/>
      <c r="Z3" s="1626"/>
      <c r="AA3" s="1626"/>
      <c r="AB3" s="1626"/>
      <c r="AC3" s="1631"/>
    </row>
    <row r="4" spans="1:29" ht="15">
      <c r="A4" s="1632" t="s">
        <v>2188</v>
      </c>
      <c r="B4" s="1633"/>
      <c r="C4" s="3635" t="s">
        <v>2189</v>
      </c>
      <c r="D4" s="3636"/>
      <c r="E4" s="3637" t="s">
        <v>2190</v>
      </c>
      <c r="F4" s="3638"/>
      <c r="G4" s="3635" t="s">
        <v>2191</v>
      </c>
      <c r="H4" s="3636"/>
      <c r="I4" s="3635" t="s">
        <v>2192</v>
      </c>
      <c r="J4" s="3636"/>
      <c r="K4" s="1634" t="s">
        <v>2193</v>
      </c>
      <c r="L4" s="2964"/>
      <c r="M4" s="2965"/>
      <c r="N4" s="2965"/>
      <c r="O4" s="2965"/>
      <c r="P4" s="3639" t="s">
        <v>2194</v>
      </c>
      <c r="Q4" s="3640"/>
      <c r="R4" s="3645" t="s">
        <v>2190</v>
      </c>
      <c r="S4" s="3646"/>
      <c r="T4" s="3645" t="s">
        <v>2191</v>
      </c>
      <c r="U4" s="3646"/>
      <c r="V4" s="3651" t="s">
        <v>2192</v>
      </c>
      <c r="W4" s="3651"/>
      <c r="X4" s="1635"/>
      <c r="Y4" s="3645" t="s">
        <v>2194</v>
      </c>
      <c r="Z4" s="3646"/>
      <c r="AA4" s="3632" t="s">
        <v>2190</v>
      </c>
      <c r="AB4" s="3632" t="s">
        <v>2191</v>
      </c>
      <c r="AC4" s="3632" t="s">
        <v>2192</v>
      </c>
    </row>
    <row r="5" spans="1:29" ht="15">
      <c r="A5" s="1637"/>
      <c r="B5" s="1638"/>
      <c r="C5" s="3628" t="s">
        <v>2195</v>
      </c>
      <c r="D5" s="3629"/>
      <c r="E5" s="3652" t="s">
        <v>2196</v>
      </c>
      <c r="F5" s="3653"/>
      <c r="G5" s="3628" t="s">
        <v>2197</v>
      </c>
      <c r="H5" s="3629"/>
      <c r="I5" s="3628" t="s">
        <v>2198</v>
      </c>
      <c r="J5" s="3629"/>
      <c r="K5" s="1639"/>
      <c r="L5" s="2964"/>
      <c r="M5" s="2965"/>
      <c r="N5" s="2965"/>
      <c r="O5" s="2965"/>
      <c r="P5" s="3641"/>
      <c r="Q5" s="3642"/>
      <c r="R5" s="3647"/>
      <c r="S5" s="3648"/>
      <c r="T5" s="3647"/>
      <c r="U5" s="3648"/>
      <c r="V5" s="3651"/>
      <c r="W5" s="3651"/>
      <c r="X5" s="1635"/>
      <c r="Y5" s="3647"/>
      <c r="Z5" s="3648"/>
      <c r="AA5" s="3633"/>
      <c r="AB5" s="3633"/>
      <c r="AC5" s="3633"/>
    </row>
    <row r="6" spans="1:29" ht="15.75" thickBot="1">
      <c r="A6" s="1640"/>
      <c r="B6" s="1641"/>
      <c r="C6" s="3625" t="s">
        <v>2199</v>
      </c>
      <c r="D6" s="3626"/>
      <c r="E6" s="3623" t="s">
        <v>2199</v>
      </c>
      <c r="F6" s="3624"/>
      <c r="G6" s="3625" t="s">
        <v>2199</v>
      </c>
      <c r="H6" s="3626"/>
      <c r="I6" s="3625" t="s">
        <v>2199</v>
      </c>
      <c r="J6" s="3626"/>
      <c r="K6" s="1639" t="s">
        <v>2200</v>
      </c>
      <c r="L6" s="2964"/>
      <c r="M6" s="2965"/>
      <c r="N6" s="2965"/>
      <c r="O6" s="2965"/>
      <c r="P6" s="3643"/>
      <c r="Q6" s="3644"/>
      <c r="R6" s="3647"/>
      <c r="S6" s="3648"/>
      <c r="T6" s="3649"/>
      <c r="U6" s="3650"/>
      <c r="V6" s="3651"/>
      <c r="W6" s="3651"/>
      <c r="X6" s="1635"/>
      <c r="Y6" s="3649"/>
      <c r="Z6" s="3650"/>
      <c r="AA6" s="3634"/>
      <c r="AB6" s="3634"/>
      <c r="AC6" s="3634"/>
    </row>
    <row r="7" spans="1:29" s="1654" customFormat="1" ht="15.75" thickBot="1">
      <c r="A7" s="1642" t="s">
        <v>2201</v>
      </c>
      <c r="B7" s="1643"/>
      <c r="C7" s="1644">
        <f>'数据-取费表'!B2</f>
        <v>44561</v>
      </c>
      <c r="D7" s="1645">
        <v>100</v>
      </c>
      <c r="E7" s="1646"/>
      <c r="F7" s="1647">
        <f>SUMIF(58:58,YEAR(E7)&amp;"-"&amp;MONTH(E7),59:59)</f>
        <v>0</v>
      </c>
      <c r="G7" s="1646"/>
      <c r="H7" s="1645">
        <f>SUMIF(58:58,YEAR(G7)&amp;"-"&amp;MONTH(G7),59:59)</f>
        <v>0</v>
      </c>
      <c r="I7" s="1646"/>
      <c r="J7" s="1645">
        <f>SUMIF(58:58,YEAR(I7)&amp;"-"&amp;MONTH(I7),59:59)</f>
        <v>0</v>
      </c>
      <c r="K7" s="1648"/>
      <c r="L7" s="2964"/>
      <c r="M7" s="2937"/>
      <c r="N7" s="2937"/>
      <c r="O7" s="2937"/>
      <c r="P7" s="3630" t="s">
        <v>2202</v>
      </c>
      <c r="Q7" s="3654"/>
      <c r="R7" s="1650" t="s">
        <v>34</v>
      </c>
      <c r="S7" s="1651">
        <f t="shared" ref="S7:S15" si="0">F7</f>
        <v>0</v>
      </c>
      <c r="T7" s="1650" t="s">
        <v>34</v>
      </c>
      <c r="U7" s="1651">
        <f t="shared" ref="U7:U15" si="1">H7</f>
        <v>0</v>
      </c>
      <c r="V7" s="1650" t="s">
        <v>34</v>
      </c>
      <c r="W7" s="1651">
        <f t="shared" ref="W7:W15" si="2">J7</f>
        <v>0</v>
      </c>
      <c r="X7" s="1652"/>
      <c r="Y7" s="3630" t="s">
        <v>2202</v>
      </c>
      <c r="Z7" s="3631"/>
      <c r="AA7" s="1653" t="e">
        <f>D7/F7</f>
        <v>#DIV/0!</v>
      </c>
      <c r="AB7" s="1653" t="e">
        <f>D7/H7</f>
        <v>#DIV/0!</v>
      </c>
      <c r="AC7" s="1653" t="e">
        <f>D7/J7</f>
        <v>#DIV/0!</v>
      </c>
    </row>
    <row r="8" spans="1:29" s="1654" customFormat="1" ht="15.75" thickBot="1">
      <c r="A8" s="1642" t="s">
        <v>2203</v>
      </c>
      <c r="B8" s="1643"/>
      <c r="C8" s="1655" t="s">
        <v>2204</v>
      </c>
      <c r="D8" s="1645">
        <v>100</v>
      </c>
      <c r="E8" s="1656"/>
      <c r="F8" s="1647">
        <f>SUMIF(61:61,E8,62:62)-SUMIF(61:61,C8,62:62)+100</f>
        <v>0</v>
      </c>
      <c r="G8" s="1655"/>
      <c r="H8" s="1645">
        <f>SUMIF(61:61,G8,62:62)-SUMIF(61:61,C8,62:62)+100</f>
        <v>0</v>
      </c>
      <c r="I8" s="1656"/>
      <c r="J8" s="1645">
        <f>SUMIF(61:61,I8,62:62)-SUMIF(61:61,C8,62:62)+100</f>
        <v>0</v>
      </c>
      <c r="K8" s="1648"/>
      <c r="L8" s="2964"/>
      <c r="M8" s="2937"/>
      <c r="N8" s="2937"/>
      <c r="O8" s="2937"/>
      <c r="P8" s="3630" t="s">
        <v>2205</v>
      </c>
      <c r="Q8" s="3631"/>
      <c r="R8" s="1650" t="s">
        <v>34</v>
      </c>
      <c r="S8" s="1651">
        <f t="shared" si="0"/>
        <v>0</v>
      </c>
      <c r="T8" s="1650" t="s">
        <v>34</v>
      </c>
      <c r="U8" s="1651">
        <f t="shared" si="1"/>
        <v>0</v>
      </c>
      <c r="V8" s="1650" t="s">
        <v>34</v>
      </c>
      <c r="W8" s="1651">
        <f t="shared" si="2"/>
        <v>0</v>
      </c>
      <c r="X8" s="1652"/>
      <c r="Y8" s="3630" t="s">
        <v>2205</v>
      </c>
      <c r="Z8" s="3631"/>
      <c r="AA8" s="1653" t="e">
        <f t="shared" ref="AA8:AA46" si="3">D8/F8</f>
        <v>#DIV/0!</v>
      </c>
      <c r="AB8" s="1653" t="e">
        <f t="shared" ref="AB8:AB46" si="4">D8/H8</f>
        <v>#DIV/0!</v>
      </c>
      <c r="AC8" s="1653" t="e">
        <f t="shared" ref="AC8:AC46" si="5">D8/J8</f>
        <v>#DIV/0!</v>
      </c>
    </row>
    <row r="9" spans="1:29" s="1654" customFormat="1">
      <c r="A9" s="1605" t="s">
        <v>2206</v>
      </c>
      <c r="B9" s="1657" t="s">
        <v>2207</v>
      </c>
      <c r="C9" s="1658"/>
      <c r="D9" s="1659">
        <v>100</v>
      </c>
      <c r="E9" s="1660"/>
      <c r="F9" s="1661">
        <f>SUMIF(63:63,E9,64:64)-SUMIF(63:63,C9,64:64)+100</f>
        <v>100</v>
      </c>
      <c r="G9" s="1662"/>
      <c r="H9" s="1659">
        <f>SUMIF(63:63,G9,64:64)-SUMIF(63:63,C9,64:64)+100</f>
        <v>100</v>
      </c>
      <c r="I9" s="1662"/>
      <c r="J9" s="1659">
        <f>SUMIF(63:63,I9,64:64)-SUMIF(63:63,C9,64:64)+100</f>
        <v>100</v>
      </c>
      <c r="K9" s="1648"/>
      <c r="L9" s="2964"/>
      <c r="M9" s="2937"/>
      <c r="N9" s="2937"/>
      <c r="O9" s="2937"/>
      <c r="P9" s="3694" t="s">
        <v>2208</v>
      </c>
      <c r="Q9" s="1604" t="str">
        <f t="shared" ref="Q9:Q15" si="6">B9</f>
        <v>用途</v>
      </c>
      <c r="R9" s="1650" t="s">
        <v>25</v>
      </c>
      <c r="S9" s="1651">
        <f t="shared" si="0"/>
        <v>100</v>
      </c>
      <c r="T9" s="1650" t="s">
        <v>25</v>
      </c>
      <c r="U9" s="1651">
        <f t="shared" si="1"/>
        <v>100</v>
      </c>
      <c r="V9" s="1650" t="s">
        <v>25</v>
      </c>
      <c r="W9" s="1651">
        <f t="shared" si="2"/>
        <v>100</v>
      </c>
      <c r="X9" s="1652"/>
      <c r="Y9" s="3486" t="s">
        <v>2209</v>
      </c>
      <c r="Z9" s="1663" t="str">
        <f t="shared" ref="Z9:Z15" si="7">Q9</f>
        <v>用途</v>
      </c>
      <c r="AA9" s="1653">
        <f t="shared" si="3"/>
        <v>1</v>
      </c>
      <c r="AB9" s="1653">
        <f t="shared" si="4"/>
        <v>1</v>
      </c>
      <c r="AC9" s="1653">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670"/>
      <c r="L10" s="2966"/>
      <c r="M10" s="2967"/>
      <c r="N10" s="2967"/>
      <c r="O10" s="2967"/>
      <c r="P10" s="3694"/>
      <c r="Q10" s="1604" t="str">
        <f t="shared" si="6"/>
        <v>土地使用年限（年）</v>
      </c>
      <c r="R10" s="1650" t="s">
        <v>25</v>
      </c>
      <c r="S10" s="1651">
        <f t="shared" si="0"/>
        <v>100</v>
      </c>
      <c r="T10" s="1650" t="s">
        <v>25</v>
      </c>
      <c r="U10" s="1651">
        <f t="shared" si="1"/>
        <v>100</v>
      </c>
      <c r="V10" s="1650" t="s">
        <v>25</v>
      </c>
      <c r="W10" s="1651">
        <f t="shared" si="2"/>
        <v>100</v>
      </c>
      <c r="X10" s="1652"/>
      <c r="Y10" s="3486"/>
      <c r="Z10" s="1663" t="str">
        <f t="shared" si="7"/>
        <v>土地使用年限（年）</v>
      </c>
      <c r="AA10" s="1653">
        <f t="shared" si="3"/>
        <v>1</v>
      </c>
      <c r="AB10" s="1653">
        <f t="shared" si="4"/>
        <v>1</v>
      </c>
      <c r="AC10" s="1653">
        <f t="shared" si="5"/>
        <v>1</v>
      </c>
    </row>
    <row r="11" spans="1:29" ht="15">
      <c r="A11" s="1672"/>
      <c r="B11" s="1665" t="s">
        <v>2211</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68"/>
      <c r="M11" s="2965"/>
      <c r="N11" s="2965"/>
      <c r="O11" s="2965"/>
      <c r="P11" s="3694"/>
      <c r="Q11" s="1604" t="str">
        <f t="shared" si="6"/>
        <v>容积率</v>
      </c>
      <c r="R11" s="1650" t="s">
        <v>28</v>
      </c>
      <c r="S11" s="1651" t="e">
        <f t="shared" si="0"/>
        <v>#N/A</v>
      </c>
      <c r="T11" s="1650" t="s">
        <v>28</v>
      </c>
      <c r="U11" s="1651" t="e">
        <f t="shared" si="1"/>
        <v>#N/A</v>
      </c>
      <c r="V11" s="1650" t="s">
        <v>28</v>
      </c>
      <c r="W11" s="1651" t="e">
        <f t="shared" si="2"/>
        <v>#N/A</v>
      </c>
      <c r="X11" s="1652"/>
      <c r="Y11" s="3486"/>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4"/>
      <c r="M12" s="2937"/>
      <c r="N12" s="2937"/>
      <c r="O12" s="2937"/>
      <c r="P12" s="3694"/>
      <c r="Q12" s="1604">
        <f t="shared" si="6"/>
        <v>111</v>
      </c>
      <c r="R12" s="1650" t="s">
        <v>28</v>
      </c>
      <c r="S12" s="1651">
        <f t="shared" si="0"/>
        <v>100</v>
      </c>
      <c r="T12" s="1650" t="s">
        <v>28</v>
      </c>
      <c r="U12" s="1651">
        <f t="shared" si="1"/>
        <v>100</v>
      </c>
      <c r="V12" s="1650" t="s">
        <v>28</v>
      </c>
      <c r="W12" s="1651">
        <f t="shared" si="2"/>
        <v>100</v>
      </c>
      <c r="X12" s="1652"/>
      <c r="Y12" s="3486"/>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69"/>
      <c r="M13" s="2965"/>
      <c r="N13" s="2965"/>
      <c r="O13" s="2965"/>
      <c r="P13" s="3694"/>
      <c r="Q13" s="1604">
        <f t="shared" si="6"/>
        <v>111</v>
      </c>
      <c r="R13" s="1650" t="s">
        <v>28</v>
      </c>
      <c r="S13" s="1651">
        <f t="shared" si="0"/>
        <v>100</v>
      </c>
      <c r="T13" s="1650" t="s">
        <v>28</v>
      </c>
      <c r="U13" s="1651">
        <f t="shared" si="1"/>
        <v>100</v>
      </c>
      <c r="V13" s="1650" t="s">
        <v>28</v>
      </c>
      <c r="W13" s="1651">
        <f t="shared" si="2"/>
        <v>100</v>
      </c>
      <c r="X13" s="1652"/>
      <c r="Y13" s="3486"/>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69"/>
      <c r="M14" s="2965"/>
      <c r="N14" s="2965"/>
      <c r="O14" s="2965"/>
      <c r="P14" s="3694"/>
      <c r="Q14" s="1604">
        <f t="shared" si="6"/>
        <v>111</v>
      </c>
      <c r="R14" s="1650" t="s">
        <v>28</v>
      </c>
      <c r="S14" s="1651">
        <f t="shared" si="0"/>
        <v>100</v>
      </c>
      <c r="T14" s="1650" t="s">
        <v>28</v>
      </c>
      <c r="U14" s="1651">
        <f t="shared" si="1"/>
        <v>100</v>
      </c>
      <c r="V14" s="1650" t="s">
        <v>28</v>
      </c>
      <c r="W14" s="1651">
        <f t="shared" si="2"/>
        <v>100</v>
      </c>
      <c r="X14" s="1652"/>
      <c r="Y14" s="3486"/>
      <c r="Z14" s="1663">
        <f t="shared" si="7"/>
        <v>111</v>
      </c>
      <c r="AA14" s="1653">
        <f t="shared" si="3"/>
        <v>1</v>
      </c>
      <c r="AB14" s="1653">
        <f t="shared" si="4"/>
        <v>1</v>
      </c>
      <c r="AC14" s="1653">
        <f t="shared" si="5"/>
        <v>1</v>
      </c>
    </row>
    <row r="15" spans="1:29" ht="99.75">
      <c r="A15" s="1687" t="s">
        <v>2212</v>
      </c>
      <c r="B15" s="1688" t="s">
        <v>1647</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c r="L15" s="2969"/>
      <c r="M15" s="2965"/>
      <c r="N15" s="2965"/>
      <c r="O15" s="2965"/>
      <c r="P15" s="3695" t="s">
        <v>2213</v>
      </c>
      <c r="Q15" s="1585" t="str">
        <f t="shared" si="6"/>
        <v>居住社区成熟度</v>
      </c>
      <c r="R15" s="1695" t="s">
        <v>28</v>
      </c>
      <c r="S15" s="1696">
        <f t="shared" si="0"/>
        <v>100</v>
      </c>
      <c r="T15" s="1695" t="s">
        <v>28</v>
      </c>
      <c r="U15" s="1696">
        <f t="shared" si="1"/>
        <v>100</v>
      </c>
      <c r="V15" s="1695" t="s">
        <v>28</v>
      </c>
      <c r="W15" s="1696">
        <f t="shared" si="2"/>
        <v>100</v>
      </c>
      <c r="X15" s="1635"/>
      <c r="Y15" s="3655" t="s">
        <v>2213</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69"/>
      <c r="M16" s="2965"/>
      <c r="N16" s="2965"/>
      <c r="O16" s="2965"/>
      <c r="P16" s="3696"/>
      <c r="Q16" s="1585"/>
      <c r="R16" s="1695"/>
      <c r="S16" s="1696"/>
      <c r="T16" s="1695"/>
      <c r="U16" s="1696"/>
      <c r="V16" s="1695"/>
      <c r="W16" s="1696"/>
      <c r="X16" s="1635"/>
      <c r="Y16" s="3656"/>
      <c r="Z16" s="1697"/>
      <c r="AA16" s="1698">
        <v>1</v>
      </c>
      <c r="AB16" s="1698">
        <v>1</v>
      </c>
      <c r="AC16" s="1698">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c r="L17" s="2969"/>
      <c r="M17" s="2965"/>
      <c r="N17" s="2965"/>
      <c r="O17" s="2965"/>
      <c r="P17" s="3696"/>
      <c r="Q17" s="1585" t="str">
        <f>B17</f>
        <v>交通便捷度</v>
      </c>
      <c r="R17" s="1695" t="s">
        <v>28</v>
      </c>
      <c r="S17" s="1696">
        <f>F17</f>
        <v>100</v>
      </c>
      <c r="T17" s="1695" t="s">
        <v>28</v>
      </c>
      <c r="U17" s="1696">
        <f>H17</f>
        <v>100</v>
      </c>
      <c r="V17" s="1695" t="s">
        <v>28</v>
      </c>
      <c r="W17" s="1696">
        <f>J17</f>
        <v>100</v>
      </c>
      <c r="X17" s="1635"/>
      <c r="Y17" s="3656"/>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69"/>
      <c r="M18" s="2965"/>
      <c r="N18" s="2965"/>
      <c r="O18" s="2965"/>
      <c r="P18" s="3696"/>
      <c r="Q18" s="1585"/>
      <c r="R18" s="1695"/>
      <c r="S18" s="1696"/>
      <c r="T18" s="1695"/>
      <c r="U18" s="1696"/>
      <c r="V18" s="1695"/>
      <c r="W18" s="1696"/>
      <c r="X18" s="1635"/>
      <c r="Y18" s="3656"/>
      <c r="Z18" s="1697"/>
      <c r="AA18" s="1698">
        <v>1</v>
      </c>
      <c r="AB18" s="1698">
        <v>1</v>
      </c>
      <c r="AC18" s="1698">
        <v>1</v>
      </c>
    </row>
    <row r="19" spans="1:29" ht="42.75">
      <c r="A19" s="1672"/>
      <c r="B19" s="1707" t="s">
        <v>1648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c r="L19" s="2969"/>
      <c r="M19" s="2965"/>
      <c r="N19" s="2965"/>
      <c r="O19" s="2965"/>
      <c r="P19" s="3696"/>
      <c r="Q19" s="1585" t="str">
        <f>B19</f>
        <v>公共配套设施</v>
      </c>
      <c r="R19" s="1695" t="s">
        <v>28</v>
      </c>
      <c r="S19" s="1696">
        <f>F19</f>
        <v>100</v>
      </c>
      <c r="T19" s="1695" t="s">
        <v>28</v>
      </c>
      <c r="U19" s="1696">
        <f>H19</f>
        <v>100</v>
      </c>
      <c r="V19" s="1695" t="s">
        <v>28</v>
      </c>
      <c r="W19" s="1696">
        <f>J19</f>
        <v>100</v>
      </c>
      <c r="X19" s="1635"/>
      <c r="Y19" s="3656"/>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69"/>
      <c r="M20" s="2965"/>
      <c r="N20" s="2965"/>
      <c r="O20" s="2965"/>
      <c r="P20" s="3696"/>
      <c r="Q20" s="1585"/>
      <c r="R20" s="1695"/>
      <c r="S20" s="1696"/>
      <c r="T20" s="1695"/>
      <c r="U20" s="1696"/>
      <c r="V20" s="1695"/>
      <c r="W20" s="1696"/>
      <c r="X20" s="1635"/>
      <c r="Y20" s="3656"/>
      <c r="Z20" s="1697"/>
      <c r="AA20" s="1698">
        <v>1</v>
      </c>
      <c r="AB20" s="1698">
        <v>1</v>
      </c>
      <c r="AC20" s="1698">
        <v>1</v>
      </c>
    </row>
    <row r="21" spans="1:29" ht="28.5">
      <c r="A21" s="1672"/>
      <c r="B21" s="1720" t="s">
        <v>1650</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c r="L21" s="2969"/>
      <c r="M21" s="2965"/>
      <c r="N21" s="2965"/>
      <c r="O21" s="2965"/>
      <c r="P21" s="3696"/>
      <c r="Q21" s="1585" t="str">
        <f>B21</f>
        <v>基础设施水平</v>
      </c>
      <c r="R21" s="1695" t="s">
        <v>28</v>
      </c>
      <c r="S21" s="1696">
        <f>F21</f>
        <v>100</v>
      </c>
      <c r="T21" s="1695" t="s">
        <v>28</v>
      </c>
      <c r="U21" s="1696">
        <f>H21</f>
        <v>100</v>
      </c>
      <c r="V21" s="1695" t="s">
        <v>28</v>
      </c>
      <c r="W21" s="1696">
        <f>J21</f>
        <v>100</v>
      </c>
      <c r="X21" s="1635"/>
      <c r="Y21" s="3656"/>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69"/>
      <c r="M22" s="2965"/>
      <c r="N22" s="2965"/>
      <c r="O22" s="2965"/>
      <c r="P22" s="3696"/>
      <c r="Q22" s="1585"/>
      <c r="R22" s="1695"/>
      <c r="S22" s="1696"/>
      <c r="T22" s="1695"/>
      <c r="U22" s="1696"/>
      <c r="V22" s="1695"/>
      <c r="W22" s="1696"/>
      <c r="X22" s="1635"/>
      <c r="Y22" s="3656"/>
      <c r="Z22" s="1697"/>
      <c r="AA22" s="1698">
        <v>1</v>
      </c>
      <c r="AB22" s="1698">
        <v>1</v>
      </c>
      <c r="AC22" s="1698">
        <v>1</v>
      </c>
    </row>
    <row r="23" spans="1:29" ht="57">
      <c r="A23" s="1672"/>
      <c r="B23" s="1707" t="s">
        <v>1651</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c r="L23" s="2969"/>
      <c r="M23" s="2965"/>
      <c r="N23" s="2965"/>
      <c r="O23" s="2965"/>
      <c r="P23" s="3696"/>
      <c r="Q23" s="1585" t="str">
        <f>B23</f>
        <v>自然及人文环境</v>
      </c>
      <c r="R23" s="1695" t="s">
        <v>28</v>
      </c>
      <c r="S23" s="1696">
        <f>F23</f>
        <v>100</v>
      </c>
      <c r="T23" s="1695" t="s">
        <v>28</v>
      </c>
      <c r="U23" s="1696">
        <f>H23</f>
        <v>100</v>
      </c>
      <c r="V23" s="1695" t="s">
        <v>28</v>
      </c>
      <c r="W23" s="1696">
        <f>J23</f>
        <v>100</v>
      </c>
      <c r="X23" s="1635"/>
      <c r="Y23" s="3656"/>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69"/>
      <c r="M24" s="2965"/>
      <c r="N24" s="2965"/>
      <c r="O24" s="2965"/>
      <c r="P24" s="3696"/>
      <c r="Q24" s="1585"/>
      <c r="R24" s="1695"/>
      <c r="S24" s="1696"/>
      <c r="T24" s="1695"/>
      <c r="U24" s="1696"/>
      <c r="V24" s="1695"/>
      <c r="W24" s="1696"/>
      <c r="X24" s="1635"/>
      <c r="Y24" s="3656"/>
      <c r="Z24" s="1697"/>
      <c r="AA24" s="1698">
        <v>1</v>
      </c>
      <c r="AB24" s="1698">
        <v>1</v>
      </c>
      <c r="AC24" s="1698">
        <v>1</v>
      </c>
    </row>
    <row r="25" spans="1:29" ht="15">
      <c r="A25" s="1672"/>
      <c r="B25" s="1665" t="s">
        <v>2214</v>
      </c>
      <c r="C25" s="1722"/>
      <c r="D25" s="1681">
        <v>100</v>
      </c>
      <c r="E25" s="1723"/>
      <c r="F25" s="1724">
        <f>SUMIF(86:86,E25,87:87)-SUMIF(86:86,C25,87:87)+100</f>
        <v>100</v>
      </c>
      <c r="G25" s="1725"/>
      <c r="H25" s="1681">
        <f>SUMIF(86:86,G25,87:87)-SUMIF(86:86,C25,87:87)+100</f>
        <v>100</v>
      </c>
      <c r="I25" s="1723"/>
      <c r="J25" s="1681">
        <f>SUMIF(86:86,I25,87:87)-SUMIF(86:86,C25,87:87)+100</f>
        <v>100</v>
      </c>
      <c r="K25" s="1670"/>
      <c r="L25" s="2969"/>
      <c r="M25" s="2965"/>
      <c r="N25" s="2965"/>
      <c r="O25" s="2965"/>
      <c r="P25" s="3696"/>
      <c r="Q25" s="1585" t="str">
        <f t="shared" ref="Q25:Q46" si="11">B25</f>
        <v>楼层-1</v>
      </c>
      <c r="R25" s="1695" t="s">
        <v>28</v>
      </c>
      <c r="S25" s="1696">
        <f>F25</f>
        <v>100</v>
      </c>
      <c r="T25" s="1695" t="s">
        <v>28</v>
      </c>
      <c r="U25" s="1696">
        <f>H25</f>
        <v>100</v>
      </c>
      <c r="V25" s="1695" t="s">
        <v>28</v>
      </c>
      <c r="W25" s="1696">
        <f>J25</f>
        <v>100</v>
      </c>
      <c r="X25" s="1635"/>
      <c r="Y25" s="3656"/>
      <c r="Z25" s="1697" t="str">
        <f>Q25</f>
        <v>楼层-1</v>
      </c>
      <c r="AA25" s="1698">
        <f t="shared" si="3"/>
        <v>1</v>
      </c>
      <c r="AB25" s="1698">
        <f t="shared" si="4"/>
        <v>1</v>
      </c>
      <c r="AC25" s="1698">
        <f t="shared" si="5"/>
        <v>1</v>
      </c>
    </row>
    <row r="26" spans="1:29" ht="15">
      <c r="A26" s="1672"/>
      <c r="B26" s="1665" t="s">
        <v>2215</v>
      </c>
      <c r="C26" s="1722"/>
      <c r="D26" s="1681">
        <v>100</v>
      </c>
      <c r="E26" s="1723"/>
      <c r="F26" s="1724">
        <f>SUMIF(88:88,E26,89:89)-SUMIF(88:88,C26,89:89)+100</f>
        <v>100</v>
      </c>
      <c r="G26" s="1725"/>
      <c r="H26" s="1681">
        <f>SUMIF(88:88,G26,89:89)-SUMIF(88:88,C26,89:89)+100</f>
        <v>100</v>
      </c>
      <c r="I26" s="1723"/>
      <c r="J26" s="1681">
        <f>SUMIF(88:88,I26,89:89)-SUMIF(88:88,C26,89:89)+100</f>
        <v>100</v>
      </c>
      <c r="K26" s="1670"/>
      <c r="L26" s="2969"/>
      <c r="M26" s="2965"/>
      <c r="N26" s="2965"/>
      <c r="O26" s="2965"/>
      <c r="P26" s="3696"/>
      <c r="Q26" s="1585" t="str">
        <f t="shared" si="11"/>
        <v>朝向</v>
      </c>
      <c r="R26" s="1695" t="s">
        <v>28</v>
      </c>
      <c r="S26" s="1696">
        <f>F26</f>
        <v>100</v>
      </c>
      <c r="T26" s="1695" t="s">
        <v>28</v>
      </c>
      <c r="U26" s="1696">
        <f>H26</f>
        <v>100</v>
      </c>
      <c r="V26" s="1695" t="s">
        <v>28</v>
      </c>
      <c r="W26" s="1696">
        <f>J26</f>
        <v>100</v>
      </c>
      <c r="X26" s="1635"/>
      <c r="Y26" s="3656"/>
      <c r="Z26" s="1697" t="str">
        <f>Q26</f>
        <v>朝向</v>
      </c>
      <c r="AA26" s="1698">
        <f t="shared" si="3"/>
        <v>1</v>
      </c>
      <c r="AB26" s="1698">
        <f t="shared" si="4"/>
        <v>1</v>
      </c>
      <c r="AC26" s="1698">
        <f t="shared" si="5"/>
        <v>1</v>
      </c>
    </row>
    <row r="27" spans="1:29" s="1654" customFormat="1" ht="15">
      <c r="A27" s="1675"/>
      <c r="B27" s="1676" t="s">
        <v>2216</v>
      </c>
      <c r="C27" s="1677"/>
      <c r="D27" s="1726">
        <v>100</v>
      </c>
      <c r="E27" s="1727"/>
      <c r="F27" s="1728">
        <f>SUMIF(90:90,E27,91:91)-SUMIF(90:90,C27,91:91)+100</f>
        <v>100</v>
      </c>
      <c r="G27" s="1729"/>
      <c r="H27" s="1726">
        <f>SUMIF(90:90,G27,91:91)-SUMIF(90:90,C27,91:91)+100</f>
        <v>100</v>
      </c>
      <c r="I27" s="1727"/>
      <c r="J27" s="1726">
        <f>SUMIF(90:90,I27,91:91)-SUMIF(90:90,C27,91:91)+100</f>
        <v>100</v>
      </c>
      <c r="K27" s="1679"/>
      <c r="L27" s="2964"/>
      <c r="M27" s="2937"/>
      <c r="N27" s="2937"/>
      <c r="O27" s="2937"/>
      <c r="P27" s="3696"/>
      <c r="Q27" s="1604" t="str">
        <f t="shared" si="11"/>
        <v>道路级别</v>
      </c>
      <c r="R27" s="1650" t="s">
        <v>28</v>
      </c>
      <c r="S27" s="1651">
        <f>F27</f>
        <v>100</v>
      </c>
      <c r="T27" s="1650" t="s">
        <v>28</v>
      </c>
      <c r="U27" s="1651">
        <f>H27</f>
        <v>100</v>
      </c>
      <c r="V27" s="1650" t="s">
        <v>28</v>
      </c>
      <c r="W27" s="1651">
        <f>J27</f>
        <v>100</v>
      </c>
      <c r="X27" s="1652"/>
      <c r="Y27" s="3656"/>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69"/>
      <c r="M28" s="2965"/>
      <c r="N28" s="2965"/>
      <c r="O28" s="2965"/>
      <c r="P28" s="3696"/>
      <c r="Q28" s="1585">
        <f t="shared" si="11"/>
        <v>111</v>
      </c>
      <c r="R28" s="1695" t="s">
        <v>28</v>
      </c>
      <c r="S28" s="1696">
        <f t="shared" ref="S28:S46" si="12">F28</f>
        <v>100</v>
      </c>
      <c r="T28" s="1695" t="s">
        <v>28</v>
      </c>
      <c r="U28" s="1696">
        <f t="shared" ref="U28:U46" si="13">H28</f>
        <v>100</v>
      </c>
      <c r="V28" s="1695" t="s">
        <v>28</v>
      </c>
      <c r="W28" s="1696">
        <f t="shared" ref="W28:W46" si="14">J28</f>
        <v>100</v>
      </c>
      <c r="X28" s="1635"/>
      <c r="Y28" s="3656"/>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69"/>
      <c r="M29" s="2965"/>
      <c r="N29" s="2965"/>
      <c r="O29" s="2965"/>
      <c r="P29" s="3696"/>
      <c r="Q29" s="1585">
        <f t="shared" si="11"/>
        <v>111</v>
      </c>
      <c r="R29" s="1695" t="s">
        <v>28</v>
      </c>
      <c r="S29" s="1696">
        <f t="shared" si="12"/>
        <v>100</v>
      </c>
      <c r="T29" s="1695" t="s">
        <v>28</v>
      </c>
      <c r="U29" s="1696">
        <f t="shared" si="13"/>
        <v>100</v>
      </c>
      <c r="V29" s="1695" t="s">
        <v>28</v>
      </c>
      <c r="W29" s="1696">
        <f t="shared" si="14"/>
        <v>100</v>
      </c>
      <c r="X29" s="1635"/>
      <c r="Y29" s="3656"/>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69"/>
      <c r="M30" s="2965"/>
      <c r="N30" s="2965"/>
      <c r="O30" s="2965"/>
      <c r="P30" s="3696"/>
      <c r="Q30" s="1585">
        <f t="shared" si="11"/>
        <v>111</v>
      </c>
      <c r="R30" s="1695" t="s">
        <v>28</v>
      </c>
      <c r="S30" s="1696">
        <f t="shared" si="12"/>
        <v>100</v>
      </c>
      <c r="T30" s="1695" t="s">
        <v>28</v>
      </c>
      <c r="U30" s="1696">
        <f t="shared" si="13"/>
        <v>100</v>
      </c>
      <c r="V30" s="1695" t="s">
        <v>28</v>
      </c>
      <c r="W30" s="1696">
        <f t="shared" si="14"/>
        <v>100</v>
      </c>
      <c r="X30" s="1635"/>
      <c r="Y30" s="3656"/>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69"/>
      <c r="M31" s="2965"/>
      <c r="N31" s="2965"/>
      <c r="O31" s="2965"/>
      <c r="P31" s="3696"/>
      <c r="Q31" s="1585">
        <f t="shared" si="11"/>
        <v>111</v>
      </c>
      <c r="R31" s="1695" t="s">
        <v>28</v>
      </c>
      <c r="S31" s="1696">
        <f t="shared" si="12"/>
        <v>100</v>
      </c>
      <c r="T31" s="1695" t="s">
        <v>28</v>
      </c>
      <c r="U31" s="1696">
        <f t="shared" si="13"/>
        <v>100</v>
      </c>
      <c r="V31" s="1695" t="s">
        <v>28</v>
      </c>
      <c r="W31" s="1696">
        <f t="shared" si="14"/>
        <v>100</v>
      </c>
      <c r="X31" s="1635"/>
      <c r="Y31" s="3656"/>
      <c r="Z31" s="1697">
        <f t="shared" si="15"/>
        <v>111</v>
      </c>
      <c r="AA31" s="1698">
        <f t="shared" si="3"/>
        <v>1</v>
      </c>
      <c r="AB31" s="1698">
        <f t="shared" si="4"/>
        <v>1</v>
      </c>
      <c r="AC31" s="1698">
        <f t="shared" si="5"/>
        <v>1</v>
      </c>
    </row>
    <row r="32" spans="1:29" ht="15">
      <c r="A32" s="1687" t="s">
        <v>2217</v>
      </c>
      <c r="B32" s="1657" t="s">
        <v>2218</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69"/>
      <c r="M32" s="2965"/>
      <c r="N32" s="2965"/>
      <c r="O32" s="2965"/>
      <c r="P32" s="3691" t="s">
        <v>2219</v>
      </c>
      <c r="Q32" s="1585" t="str">
        <f t="shared" si="11"/>
        <v>建筑类型</v>
      </c>
      <c r="R32" s="1695" t="s">
        <v>28</v>
      </c>
      <c r="S32" s="1696">
        <f t="shared" si="12"/>
        <v>100</v>
      </c>
      <c r="T32" s="1695" t="s">
        <v>28</v>
      </c>
      <c r="U32" s="1696">
        <f t="shared" si="13"/>
        <v>100</v>
      </c>
      <c r="V32" s="1695" t="s">
        <v>28</v>
      </c>
      <c r="W32" s="1696">
        <f t="shared" si="14"/>
        <v>100</v>
      </c>
      <c r="X32" s="1635"/>
      <c r="Y32" s="3658" t="s">
        <v>2219</v>
      </c>
      <c r="Z32" s="1697" t="str">
        <f t="shared" si="15"/>
        <v>建筑类型</v>
      </c>
      <c r="AA32" s="1698">
        <f t="shared" si="3"/>
        <v>1</v>
      </c>
      <c r="AB32" s="1698">
        <f t="shared" si="4"/>
        <v>1</v>
      </c>
      <c r="AC32" s="1698">
        <f t="shared" si="5"/>
        <v>1</v>
      </c>
    </row>
    <row r="33" spans="1:29" s="1741" customFormat="1" ht="15">
      <c r="A33" s="1734"/>
      <c r="B33" s="1665" t="s">
        <v>2220</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68"/>
      <c r="M33" s="2029"/>
      <c r="N33" s="2029"/>
      <c r="O33" s="2029"/>
      <c r="P33" s="3692"/>
      <c r="Q33" s="1736" t="str">
        <f t="shared" si="11"/>
        <v>项目建筑规模</v>
      </c>
      <c r="R33" s="1737" t="s">
        <v>28</v>
      </c>
      <c r="S33" s="1738" t="e">
        <f t="shared" si="12"/>
        <v>#N/A</v>
      </c>
      <c r="T33" s="1737" t="s">
        <v>28</v>
      </c>
      <c r="U33" s="1738" t="e">
        <f t="shared" si="13"/>
        <v>#N/A</v>
      </c>
      <c r="V33" s="1737" t="s">
        <v>28</v>
      </c>
      <c r="W33" s="1738" t="e">
        <f t="shared" si="14"/>
        <v>#N/A</v>
      </c>
      <c r="X33" s="1739"/>
      <c r="Y33" s="3658"/>
      <c r="Z33" s="1740" t="str">
        <f t="shared" si="15"/>
        <v>项目建筑规模</v>
      </c>
      <c r="AA33" s="1698" t="e">
        <f t="shared" si="3"/>
        <v>#N/A</v>
      </c>
      <c r="AB33" s="1698" t="e">
        <f t="shared" si="4"/>
        <v>#N/A</v>
      </c>
      <c r="AC33" s="1698" t="e">
        <f t="shared" si="5"/>
        <v>#N/A</v>
      </c>
    </row>
    <row r="34" spans="1:29" ht="15">
      <c r="A34" s="1742"/>
      <c r="B34" s="1665" t="s">
        <v>2221</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69"/>
      <c r="M34" s="2965"/>
      <c r="N34" s="2965"/>
      <c r="O34" s="2965"/>
      <c r="P34" s="3692"/>
      <c r="Q34" s="1585" t="str">
        <f t="shared" si="11"/>
        <v>建筑结构</v>
      </c>
      <c r="R34" s="1695" t="s">
        <v>28</v>
      </c>
      <c r="S34" s="1696">
        <f t="shared" si="12"/>
        <v>100</v>
      </c>
      <c r="T34" s="1695" t="s">
        <v>28</v>
      </c>
      <c r="U34" s="1696">
        <f t="shared" si="13"/>
        <v>100</v>
      </c>
      <c r="V34" s="1695" t="s">
        <v>28</v>
      </c>
      <c r="W34" s="1696">
        <f t="shared" si="14"/>
        <v>100</v>
      </c>
      <c r="X34" s="1635"/>
      <c r="Y34" s="3658"/>
      <c r="Z34" s="1697" t="str">
        <f t="shared" si="15"/>
        <v>建筑结构</v>
      </c>
      <c r="AA34" s="1698">
        <f t="shared" si="3"/>
        <v>1</v>
      </c>
      <c r="AB34" s="1698">
        <f t="shared" si="4"/>
        <v>1</v>
      </c>
      <c r="AC34" s="1698">
        <f t="shared" si="5"/>
        <v>1</v>
      </c>
    </row>
    <row r="35" spans="1:29" ht="15">
      <c r="A35" s="1742"/>
      <c r="B35" s="1665" t="s">
        <v>2222</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69"/>
      <c r="M35" s="2965"/>
      <c r="N35" s="2965"/>
      <c r="O35" s="2965"/>
      <c r="P35" s="3692"/>
      <c r="Q35" s="1585" t="str">
        <f t="shared" si="11"/>
        <v>建筑品质</v>
      </c>
      <c r="R35" s="1695" t="s">
        <v>28</v>
      </c>
      <c r="S35" s="1696">
        <f t="shared" si="12"/>
        <v>100</v>
      </c>
      <c r="T35" s="1695" t="s">
        <v>28</v>
      </c>
      <c r="U35" s="1696">
        <f t="shared" si="13"/>
        <v>100</v>
      </c>
      <c r="V35" s="1695" t="s">
        <v>28</v>
      </c>
      <c r="W35" s="1696">
        <f t="shared" si="14"/>
        <v>100</v>
      </c>
      <c r="X35" s="1635"/>
      <c r="Y35" s="3658"/>
      <c r="Z35" s="1697" t="str">
        <f t="shared" si="15"/>
        <v>建筑品质</v>
      </c>
      <c r="AA35" s="1698">
        <f t="shared" si="3"/>
        <v>1</v>
      </c>
      <c r="AB35" s="1698">
        <f t="shared" si="4"/>
        <v>1</v>
      </c>
      <c r="AC35" s="1698">
        <f t="shared" si="5"/>
        <v>1</v>
      </c>
    </row>
    <row r="36" spans="1:29" ht="15">
      <c r="A36" s="1742"/>
      <c r="B36" s="1665" t="s">
        <v>2223</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69"/>
      <c r="M36" s="2965"/>
      <c r="N36" s="2965"/>
      <c r="O36" s="2965"/>
      <c r="P36" s="3692"/>
      <c r="Q36" s="1585" t="str">
        <f t="shared" si="11"/>
        <v>公共部分装修</v>
      </c>
      <c r="R36" s="1695" t="s">
        <v>28</v>
      </c>
      <c r="S36" s="1696">
        <f t="shared" si="12"/>
        <v>100</v>
      </c>
      <c r="T36" s="1695" t="s">
        <v>28</v>
      </c>
      <c r="U36" s="1696">
        <f t="shared" si="13"/>
        <v>100</v>
      </c>
      <c r="V36" s="1695" t="s">
        <v>28</v>
      </c>
      <c r="W36" s="1696">
        <f t="shared" si="14"/>
        <v>100</v>
      </c>
      <c r="X36" s="1635"/>
      <c r="Y36" s="3658"/>
      <c r="Z36" s="1697" t="str">
        <f t="shared" si="15"/>
        <v>公共部分装修</v>
      </c>
      <c r="AA36" s="1698">
        <f t="shared" si="3"/>
        <v>1</v>
      </c>
      <c r="AB36" s="1698">
        <f t="shared" si="4"/>
        <v>1</v>
      </c>
      <c r="AC36" s="1698">
        <f t="shared" si="5"/>
        <v>1</v>
      </c>
    </row>
    <row r="37" spans="1:29" s="1654" customFormat="1" ht="15">
      <c r="A37" s="1745"/>
      <c r="B37" s="1665" t="s">
        <v>2224</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64"/>
      <c r="M37" s="2937"/>
      <c r="N37" s="2937"/>
      <c r="O37" s="2937"/>
      <c r="P37" s="3692"/>
      <c r="Q37" s="1604" t="str">
        <f t="shared" si="11"/>
        <v>成新度</v>
      </c>
      <c r="R37" s="1650" t="s">
        <v>28</v>
      </c>
      <c r="S37" s="1651" t="e">
        <f t="shared" si="12"/>
        <v>#N/A</v>
      </c>
      <c r="T37" s="1650" t="s">
        <v>28</v>
      </c>
      <c r="U37" s="1651" t="e">
        <f t="shared" si="13"/>
        <v>#N/A</v>
      </c>
      <c r="V37" s="1650" t="s">
        <v>28</v>
      </c>
      <c r="W37" s="1651" t="e">
        <f t="shared" si="14"/>
        <v>#N/A</v>
      </c>
      <c r="X37" s="1652"/>
      <c r="Y37" s="3658"/>
      <c r="Z37" s="1663" t="str">
        <f t="shared" si="15"/>
        <v>成新度</v>
      </c>
      <c r="AA37" s="1653" t="e">
        <f t="shared" si="3"/>
        <v>#N/A</v>
      </c>
      <c r="AB37" s="1653" t="e">
        <f t="shared" si="4"/>
        <v>#N/A</v>
      </c>
      <c r="AC37" s="1653" t="e">
        <f t="shared" si="5"/>
        <v>#N/A</v>
      </c>
    </row>
    <row r="38" spans="1:29" ht="15">
      <c r="A38" s="1742"/>
      <c r="B38" s="1665" t="s">
        <v>2225</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69"/>
      <c r="M38" s="2965"/>
      <c r="N38" s="2965"/>
      <c r="O38" s="2965"/>
      <c r="P38" s="3692" t="s">
        <v>2219</v>
      </c>
      <c r="Q38" s="1585" t="str">
        <f t="shared" si="11"/>
        <v>物业管理</v>
      </c>
      <c r="R38" s="1695" t="s">
        <v>28</v>
      </c>
      <c r="S38" s="1696">
        <f t="shared" si="12"/>
        <v>100</v>
      </c>
      <c r="T38" s="1695" t="s">
        <v>28</v>
      </c>
      <c r="U38" s="1696">
        <f t="shared" si="13"/>
        <v>100</v>
      </c>
      <c r="V38" s="1695" t="s">
        <v>28</v>
      </c>
      <c r="W38" s="1696">
        <f t="shared" si="14"/>
        <v>100</v>
      </c>
      <c r="X38" s="1635"/>
      <c r="Y38" s="3658" t="s">
        <v>2219</v>
      </c>
      <c r="Z38" s="1697" t="str">
        <f t="shared" si="15"/>
        <v>物业管理</v>
      </c>
      <c r="AA38" s="1698">
        <f t="shared" si="3"/>
        <v>1</v>
      </c>
      <c r="AB38" s="1698">
        <f t="shared" si="4"/>
        <v>1</v>
      </c>
      <c r="AC38" s="1698">
        <f t="shared" si="5"/>
        <v>1</v>
      </c>
    </row>
    <row r="39" spans="1:29" ht="15">
      <c r="A39" s="1742"/>
      <c r="B39" s="1665" t="s">
        <v>2226</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69"/>
      <c r="M39" s="2965"/>
      <c r="N39" s="2965"/>
      <c r="O39" s="2965"/>
      <c r="P39" s="3692"/>
      <c r="Q39" s="1585" t="str">
        <f t="shared" si="11"/>
        <v>市政基础设施</v>
      </c>
      <c r="R39" s="1695" t="s">
        <v>28</v>
      </c>
      <c r="S39" s="1696">
        <f t="shared" si="12"/>
        <v>100</v>
      </c>
      <c r="T39" s="1695" t="s">
        <v>28</v>
      </c>
      <c r="U39" s="1696">
        <f t="shared" si="13"/>
        <v>100</v>
      </c>
      <c r="V39" s="1695" t="s">
        <v>28</v>
      </c>
      <c r="W39" s="1696">
        <f t="shared" si="14"/>
        <v>100</v>
      </c>
      <c r="X39" s="1635"/>
      <c r="Y39" s="3658"/>
      <c r="Z39" s="1697" t="str">
        <f t="shared" si="15"/>
        <v>市政基础设施</v>
      </c>
      <c r="AA39" s="1698">
        <f t="shared" si="3"/>
        <v>1</v>
      </c>
      <c r="AB39" s="1698">
        <f t="shared" si="4"/>
        <v>1</v>
      </c>
      <c r="AC39" s="1698">
        <f t="shared" si="5"/>
        <v>1</v>
      </c>
    </row>
    <row r="40" spans="1:29" ht="15">
      <c r="A40" s="1742"/>
      <c r="B40" s="1665" t="s">
        <v>2227</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69"/>
      <c r="M40" s="2965"/>
      <c r="N40" s="2965"/>
      <c r="O40" s="2965"/>
      <c r="P40" s="3692"/>
      <c r="Q40" s="1585" t="str">
        <f t="shared" si="11"/>
        <v>房型</v>
      </c>
      <c r="R40" s="1695" t="s">
        <v>28</v>
      </c>
      <c r="S40" s="1696">
        <f t="shared" si="12"/>
        <v>100</v>
      </c>
      <c r="T40" s="1695" t="s">
        <v>28</v>
      </c>
      <c r="U40" s="1696">
        <f t="shared" si="13"/>
        <v>100</v>
      </c>
      <c r="V40" s="1695" t="s">
        <v>28</v>
      </c>
      <c r="W40" s="1696">
        <f t="shared" si="14"/>
        <v>100</v>
      </c>
      <c r="X40" s="1635"/>
      <c r="Y40" s="3658"/>
      <c r="Z40" s="1697" t="str">
        <f t="shared" si="15"/>
        <v>房型</v>
      </c>
      <c r="AA40" s="1698">
        <f t="shared" si="3"/>
        <v>1</v>
      </c>
      <c r="AB40" s="1698">
        <f t="shared" si="4"/>
        <v>1</v>
      </c>
      <c r="AC40" s="1698">
        <f t="shared" si="5"/>
        <v>1</v>
      </c>
    </row>
    <row r="41" spans="1:29" s="1741" customFormat="1" ht="28.5">
      <c r="A41" s="1734"/>
      <c r="B41" s="1665" t="s">
        <v>2228</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68"/>
      <c r="M41" s="2029"/>
      <c r="N41" s="2029"/>
      <c r="O41" s="2029"/>
      <c r="P41" s="3692"/>
      <c r="Q41" s="1736" t="str">
        <f t="shared" si="11"/>
        <v>单套/主力户型建筑面积</v>
      </c>
      <c r="R41" s="1737" t="s">
        <v>28</v>
      </c>
      <c r="S41" s="1738">
        <f t="shared" si="12"/>
        <v>100</v>
      </c>
      <c r="T41" s="1737" t="s">
        <v>28</v>
      </c>
      <c r="U41" s="1738">
        <f t="shared" si="13"/>
        <v>100</v>
      </c>
      <c r="V41" s="1737" t="s">
        <v>28</v>
      </c>
      <c r="W41" s="1738">
        <f t="shared" si="14"/>
        <v>100</v>
      </c>
      <c r="X41" s="1739"/>
      <c r="Y41" s="3658"/>
      <c r="Z41" s="1740" t="str">
        <f t="shared" si="15"/>
        <v>单套/主力户型建筑面积</v>
      </c>
      <c r="AA41" s="1698">
        <f t="shared" si="3"/>
        <v>1</v>
      </c>
      <c r="AB41" s="1698">
        <f t="shared" si="4"/>
        <v>1</v>
      </c>
      <c r="AC41" s="1698">
        <f t="shared" si="5"/>
        <v>1</v>
      </c>
    </row>
    <row r="42" spans="1:29" ht="15">
      <c r="A42" s="1742"/>
      <c r="B42" s="1665" t="s">
        <v>2229</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69"/>
      <c r="M42" s="2965"/>
      <c r="N42" s="2965"/>
      <c r="O42" s="2965"/>
      <c r="P42" s="3692"/>
      <c r="Q42" s="1585" t="str">
        <f t="shared" si="11"/>
        <v>内部装修</v>
      </c>
      <c r="R42" s="1695" t="s">
        <v>28</v>
      </c>
      <c r="S42" s="1696">
        <f t="shared" si="12"/>
        <v>100</v>
      </c>
      <c r="T42" s="1695" t="s">
        <v>28</v>
      </c>
      <c r="U42" s="1696">
        <f t="shared" si="13"/>
        <v>100</v>
      </c>
      <c r="V42" s="1695" t="s">
        <v>28</v>
      </c>
      <c r="W42" s="1696">
        <f t="shared" si="14"/>
        <v>100</v>
      </c>
      <c r="X42" s="1635"/>
      <c r="Y42" s="3658"/>
      <c r="Z42" s="1697" t="str">
        <f t="shared" si="15"/>
        <v>内部装修</v>
      </c>
      <c r="AA42" s="1698">
        <f t="shared" si="3"/>
        <v>1</v>
      </c>
      <c r="AB42" s="1698">
        <f t="shared" si="4"/>
        <v>1</v>
      </c>
      <c r="AC42" s="1698">
        <f t="shared" si="5"/>
        <v>1</v>
      </c>
    </row>
    <row r="43" spans="1:29" ht="15">
      <c r="A43" s="1742"/>
      <c r="B43" s="1665" t="s">
        <v>2230</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69"/>
      <c r="M43" s="2965"/>
      <c r="N43" s="2965"/>
      <c r="O43" s="2965"/>
      <c r="P43" s="3692"/>
      <c r="Q43" s="1585" t="str">
        <f t="shared" si="11"/>
        <v>内部装修维护情况</v>
      </c>
      <c r="R43" s="1695" t="s">
        <v>28</v>
      </c>
      <c r="S43" s="1696">
        <f t="shared" si="12"/>
        <v>100</v>
      </c>
      <c r="T43" s="1695" t="s">
        <v>28</v>
      </c>
      <c r="U43" s="1696">
        <f t="shared" si="13"/>
        <v>100</v>
      </c>
      <c r="V43" s="1695" t="s">
        <v>28</v>
      </c>
      <c r="W43" s="1696">
        <f t="shared" si="14"/>
        <v>100</v>
      </c>
      <c r="X43" s="1635"/>
      <c r="Y43" s="3658"/>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4"/>
      <c r="M44" s="2937"/>
      <c r="N44" s="2937"/>
      <c r="O44" s="2937"/>
      <c r="P44" s="3692"/>
      <c r="Q44" s="1604">
        <f t="shared" si="11"/>
        <v>111</v>
      </c>
      <c r="R44" s="1650" t="s">
        <v>28</v>
      </c>
      <c r="S44" s="1651">
        <f t="shared" si="12"/>
        <v>100</v>
      </c>
      <c r="T44" s="1650" t="s">
        <v>28</v>
      </c>
      <c r="U44" s="1651">
        <f t="shared" si="13"/>
        <v>100</v>
      </c>
      <c r="V44" s="1650" t="s">
        <v>28</v>
      </c>
      <c r="W44" s="1651">
        <f t="shared" si="14"/>
        <v>100</v>
      </c>
      <c r="X44" s="1652"/>
      <c r="Y44" s="3658"/>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69"/>
      <c r="M45" s="2965"/>
      <c r="N45" s="2965"/>
      <c r="O45" s="2965"/>
      <c r="P45" s="3692"/>
      <c r="Q45" s="1585">
        <f t="shared" si="11"/>
        <v>111</v>
      </c>
      <c r="R45" s="1695" t="s">
        <v>28</v>
      </c>
      <c r="S45" s="1696">
        <f t="shared" si="12"/>
        <v>100</v>
      </c>
      <c r="T45" s="1695" t="s">
        <v>28</v>
      </c>
      <c r="U45" s="1696">
        <f t="shared" si="13"/>
        <v>100</v>
      </c>
      <c r="V45" s="1695" t="s">
        <v>28</v>
      </c>
      <c r="W45" s="1696">
        <f t="shared" si="14"/>
        <v>100</v>
      </c>
      <c r="X45" s="1635"/>
      <c r="Y45" s="3658"/>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69"/>
      <c r="M46" s="2965"/>
      <c r="N46" s="2965"/>
      <c r="O46" s="2965"/>
      <c r="P46" s="3693"/>
      <c r="Q46" s="1585">
        <f t="shared" si="11"/>
        <v>111</v>
      </c>
      <c r="R46" s="1695" t="s">
        <v>27</v>
      </c>
      <c r="S46" s="1696">
        <f t="shared" si="12"/>
        <v>100</v>
      </c>
      <c r="T46" s="1695" t="s">
        <v>27</v>
      </c>
      <c r="U46" s="1696">
        <f t="shared" si="13"/>
        <v>100</v>
      </c>
      <c r="V46" s="1695" t="s">
        <v>27</v>
      </c>
      <c r="W46" s="1696">
        <f t="shared" si="14"/>
        <v>100</v>
      </c>
      <c r="X46" s="1635"/>
      <c r="Y46" s="3659"/>
      <c r="Z46" s="1697">
        <f t="shared" si="15"/>
        <v>111</v>
      </c>
      <c r="AA46" s="1698">
        <f t="shared" si="3"/>
        <v>1</v>
      </c>
      <c r="AB46" s="1698">
        <f t="shared" si="4"/>
        <v>1</v>
      </c>
      <c r="AC46" s="1698">
        <f t="shared" si="5"/>
        <v>1</v>
      </c>
    </row>
    <row r="47" spans="1:29" ht="15">
      <c r="A47" s="1751" t="s">
        <v>2231</v>
      </c>
      <c r="B47" s="1752"/>
      <c r="C47" s="1753" t="s">
        <v>26</v>
      </c>
      <c r="D47" s="1754"/>
      <c r="E47" s="1755"/>
      <c r="F47" s="1756"/>
      <c r="G47" s="1757"/>
      <c r="H47" s="1758"/>
      <c r="I47" s="1755"/>
      <c r="J47" s="1758"/>
      <c r="K47" s="1759"/>
      <c r="L47" s="2970"/>
      <c r="N47" s="2965"/>
      <c r="P47" s="3627" t="str">
        <f>A47</f>
        <v>成交单价（元/平方米）</v>
      </c>
      <c r="Q47" s="3627"/>
      <c r="R47" s="3660">
        <f>E47</f>
        <v>0</v>
      </c>
      <c r="S47" s="3660"/>
      <c r="T47" s="3660">
        <f>G47</f>
        <v>0</v>
      </c>
      <c r="U47" s="3660"/>
      <c r="V47" s="3660">
        <f>I47</f>
        <v>0</v>
      </c>
      <c r="W47" s="3660"/>
      <c r="X47" s="1761"/>
      <c r="Y47" s="1762"/>
      <c r="Z47" s="1761"/>
      <c r="AA47" s="1761"/>
      <c r="AB47" s="1761"/>
      <c r="AC47" s="1761"/>
    </row>
    <row r="48" spans="1:29" ht="15.75" thickBot="1">
      <c r="A48" s="1763" t="s">
        <v>2232</v>
      </c>
      <c r="B48" s="1764"/>
      <c r="C48" s="1765" t="e">
        <f>R49</f>
        <v>#DIV/0!</v>
      </c>
      <c r="D48" s="1766" t="s">
        <v>2688</v>
      </c>
      <c r="E48" s="1767" t="e">
        <f>R48</f>
        <v>#DIV/0!</v>
      </c>
      <c r="F48" s="1768"/>
      <c r="G48" s="1765" t="e">
        <f>T48</f>
        <v>#DIV/0!</v>
      </c>
      <c r="H48" s="1768"/>
      <c r="I48" s="1767" t="e">
        <f>V48</f>
        <v>#DIV/0!</v>
      </c>
      <c r="J48" s="1768"/>
      <c r="K48" s="2481">
        <f>F48+H48+J48</f>
        <v>0</v>
      </c>
      <c r="L48" s="2970"/>
      <c r="P48" s="3627" t="str">
        <f>A48</f>
        <v>比较价值（元/平方米）</v>
      </c>
      <c r="Q48" s="3627"/>
      <c r="R48" s="3660" t="e">
        <f>IF(E1="售价",ROUND(PRODUCT(R47,AA7:AA46),0),ROUND(PRODUCT(R47,AA7:AA46),1))</f>
        <v>#DIV/0!</v>
      </c>
      <c r="S48" s="3660"/>
      <c r="T48" s="3697" t="e">
        <f>IF(E1="售价",ROUND(PRODUCT(T47,AB7:AB46),0),ROUND(PRODUCT(T47,AB7:AB46),1))</f>
        <v>#DIV/0!</v>
      </c>
      <c r="U48" s="3698"/>
      <c r="V48" s="3660" t="e">
        <f>IF(E1="售价",ROUND(PRODUCT(V47,AC7:AC46),0),ROUND(PRODUCT(V47,AC7:AC46),1))</f>
        <v>#DIV/0!</v>
      </c>
      <c r="W48" s="3660"/>
      <c r="X48" s="1761"/>
      <c r="Y48" s="1761"/>
      <c r="Z48" s="1761"/>
      <c r="AA48" s="1761"/>
      <c r="AB48" s="1761"/>
      <c r="AC48" s="1761"/>
    </row>
    <row r="49" spans="1:29" ht="15.75" thickBot="1">
      <c r="A49" s="1769" t="s">
        <v>2233</v>
      </c>
      <c r="B49" s="1770"/>
      <c r="C49" s="1771" t="e">
        <f>R49</f>
        <v>#DIV/0!</v>
      </c>
      <c r="D49" s="1772"/>
      <c r="E49" s="1772"/>
      <c r="F49" s="1772"/>
      <c r="G49" s="1772"/>
      <c r="H49" s="1772"/>
      <c r="I49" s="1772"/>
      <c r="J49" s="1772"/>
      <c r="K49" s="1773"/>
      <c r="L49" s="2970"/>
      <c r="P49" s="3661" t="str">
        <f>A49</f>
        <v>估价对象XX用房的比较价值（楼面单价，元/平方米）</v>
      </c>
      <c r="Q49" s="3662"/>
      <c r="R49" s="3663" t="e">
        <f>IF(E1="售价",ROUND(IF(D48="简单平均",AVERAGE(R48:V48),R48*F48+T48*H48+V48*J48),0),ROUND(IF(D48="简单平均",AVERAGE(R48:V48),R48*F48+T48*H48+V48*J48),1))</f>
        <v>#DIV/0!</v>
      </c>
      <c r="S49" s="3663"/>
      <c r="T49" s="3663"/>
      <c r="U49" s="3663"/>
      <c r="V49" s="3663"/>
      <c r="W49" s="3663"/>
      <c r="X49" s="1761"/>
      <c r="Y49" s="1761"/>
      <c r="Z49" s="1761"/>
      <c r="AA49" s="1761"/>
      <c r="AB49" s="1761"/>
      <c r="AC49" s="1761"/>
    </row>
    <row r="50" spans="1:29">
      <c r="G50" s="2974"/>
    </row>
    <row r="52" spans="1:29" ht="13.5" customHeight="1">
      <c r="C52" s="383" t="s">
        <v>2234</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2235</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2236</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7"/>
      <c r="L54" s="2971"/>
      <c r="P54" s="1782"/>
    </row>
    <row r="55" spans="1:29" s="1783" customFormat="1">
      <c r="B55" s="2975"/>
      <c r="C55" s="2976"/>
      <c r="K55" s="2977"/>
      <c r="L55" s="2971"/>
      <c r="P55" s="1782"/>
    </row>
    <row r="56" spans="1:29">
      <c r="B56" s="2975"/>
      <c r="C56" s="2976"/>
    </row>
    <row r="57" spans="1:29" ht="21.75" thickBot="1">
      <c r="A57" s="1786" t="s">
        <v>2237</v>
      </c>
      <c r="B57" s="1761"/>
      <c r="C57" s="1787"/>
      <c r="D57" s="1787"/>
      <c r="E57" s="1787"/>
      <c r="F57" s="1787"/>
      <c r="G57" s="1787"/>
      <c r="H57" s="1787"/>
      <c r="I57" s="1787"/>
      <c r="J57" s="1787"/>
      <c r="K57" s="1788"/>
      <c r="L57" s="2972"/>
      <c r="M57" s="2973"/>
      <c r="N57" s="2973"/>
      <c r="O57" s="2973"/>
      <c r="P57" s="1790"/>
      <c r="Q57" s="1791"/>
    </row>
    <row r="58" spans="1:29" s="1797" customFormat="1" ht="15">
      <c r="A58" s="1792" t="s">
        <v>2238</v>
      </c>
      <c r="B58" s="1793"/>
      <c r="C58" s="1794" t="str">
        <f>YEAR(C7)&amp;"-"&amp;MONTH(C7)</f>
        <v>2021-12</v>
      </c>
      <c r="D58" s="1795">
        <f>EDATE(C58,-1)</f>
        <v>44501</v>
      </c>
      <c r="E58" s="1795">
        <f t="shared" ref="E58:O58" si="16">EDATE(D58,-1)</f>
        <v>44470</v>
      </c>
      <c r="F58" s="1795">
        <f t="shared" si="16"/>
        <v>44440</v>
      </c>
      <c r="G58" s="1795">
        <f t="shared" si="16"/>
        <v>44409</v>
      </c>
      <c r="H58" s="1795">
        <f t="shared" si="16"/>
        <v>44378</v>
      </c>
      <c r="I58" s="1795">
        <f t="shared" si="16"/>
        <v>44348</v>
      </c>
      <c r="J58" s="1795">
        <f t="shared" si="16"/>
        <v>44317</v>
      </c>
      <c r="K58" s="1795">
        <f t="shared" si="16"/>
        <v>44287</v>
      </c>
      <c r="L58" s="1795">
        <f t="shared" si="16"/>
        <v>44256</v>
      </c>
      <c r="M58" s="1795">
        <f t="shared" si="16"/>
        <v>44228</v>
      </c>
      <c r="N58" s="1795">
        <f t="shared" si="16"/>
        <v>44197</v>
      </c>
      <c r="O58" s="1795">
        <f t="shared" si="16"/>
        <v>44166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2239</v>
      </c>
      <c r="B60" s="1805"/>
      <c r="C60" s="1806"/>
      <c r="D60" s="1807"/>
      <c r="E60" s="1807"/>
      <c r="F60" s="1807"/>
      <c r="G60" s="1807"/>
      <c r="H60" s="1807"/>
      <c r="I60" s="1807"/>
      <c r="J60" s="1807"/>
      <c r="K60" s="1807"/>
      <c r="L60" s="1807"/>
      <c r="M60" s="1808"/>
      <c r="N60" s="1807"/>
      <c r="O60" s="1808"/>
      <c r="P60" s="1803"/>
      <c r="Q60" s="1791"/>
    </row>
    <row r="61" spans="1:29" s="1654" customFormat="1" ht="15">
      <c r="A61" s="1809" t="s">
        <v>2240</v>
      </c>
      <c r="B61" s="1799"/>
      <c r="C61" s="1810" t="s">
        <v>2241</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2242</v>
      </c>
      <c r="B63" s="1817" t="s">
        <v>2207</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2210</v>
      </c>
      <c r="C65" s="1829" t="s">
        <v>2243</v>
      </c>
      <c r="D65" s="1829" t="s">
        <v>2244</v>
      </c>
      <c r="E65" s="1829" t="s">
        <v>2245</v>
      </c>
      <c r="F65" s="1829" t="s">
        <v>2246</v>
      </c>
      <c r="G65" s="1829" t="s">
        <v>2247</v>
      </c>
      <c r="H65" s="1829" t="s">
        <v>2248</v>
      </c>
      <c r="I65" s="1829" t="s">
        <v>2249</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2211</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2212</v>
      </c>
      <c r="B76" s="1817" t="s">
        <v>2250</v>
      </c>
      <c r="C76" s="1855" t="s">
        <v>2251</v>
      </c>
      <c r="D76" s="1855" t="s">
        <v>2252</v>
      </c>
      <c r="E76" s="1855" t="s">
        <v>2253</v>
      </c>
      <c r="F76" s="1855" t="s">
        <v>2254</v>
      </c>
      <c r="G76" s="1855" t="s">
        <v>2255</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2256</v>
      </c>
      <c r="C78" s="579" t="s">
        <v>2251</v>
      </c>
      <c r="D78" s="579" t="s">
        <v>2252</v>
      </c>
      <c r="E78" s="579" t="s">
        <v>2253</v>
      </c>
      <c r="F78" s="579" t="s">
        <v>2254</v>
      </c>
      <c r="G78" s="579" t="s">
        <v>2255</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2257</v>
      </c>
      <c r="C80" s="579" t="s">
        <v>2251</v>
      </c>
      <c r="D80" s="579" t="s">
        <v>2252</v>
      </c>
      <c r="E80" s="579" t="s">
        <v>2253</v>
      </c>
      <c r="F80" s="579" t="s">
        <v>2254</v>
      </c>
      <c r="G80" s="579" t="s">
        <v>2255</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1650</v>
      </c>
      <c r="C82" s="1829" t="s">
        <v>2258</v>
      </c>
      <c r="D82" s="1829" t="s">
        <v>2259</v>
      </c>
      <c r="E82" s="1829" t="s">
        <v>2260</v>
      </c>
      <c r="F82" s="1829" t="s">
        <v>2261</v>
      </c>
      <c r="G82" s="1829" t="s">
        <v>2262</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2263</v>
      </c>
      <c r="C84" s="579" t="s">
        <v>2251</v>
      </c>
      <c r="D84" s="579" t="s">
        <v>2252</v>
      </c>
      <c r="E84" s="579" t="s">
        <v>2253</v>
      </c>
      <c r="F84" s="579" t="s">
        <v>2254</v>
      </c>
      <c r="G84" s="579" t="s">
        <v>2255</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2264</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2265</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2217</v>
      </c>
      <c r="B100" s="1817" t="s">
        <v>2266</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2268</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2269</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2270</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2272</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2273</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2274</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2228</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2275</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2276</v>
      </c>
      <c r="C124" s="579" t="s">
        <v>2251</v>
      </c>
      <c r="D124" s="579" t="s">
        <v>2252</v>
      </c>
      <c r="E124" s="579" t="s">
        <v>2253</v>
      </c>
      <c r="F124" s="579" t="s">
        <v>2254</v>
      </c>
      <c r="G124" s="579" t="s">
        <v>2255</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2277</v>
      </c>
    </row>
    <row r="137" spans="1:17" ht="15">
      <c r="B137" s="1881" t="s">
        <v>2278</v>
      </c>
      <c r="C137" s="1882"/>
      <c r="D137" s="1882"/>
      <c r="E137" s="1882"/>
      <c r="F137" s="1882"/>
      <c r="G137" s="1883"/>
      <c r="H137" s="1884"/>
      <c r="I137" s="1885" t="s">
        <v>2279</v>
      </c>
      <c r="J137" s="1882"/>
      <c r="K137" s="1886"/>
    </row>
    <row r="138" spans="1:17" ht="15">
      <c r="B138" s="1887"/>
      <c r="C138" s="1888" t="s">
        <v>2280</v>
      </c>
      <c r="D138" s="1888" t="s">
        <v>2281</v>
      </c>
      <c r="E138" s="1889" t="s">
        <v>2282</v>
      </c>
      <c r="F138" s="1890" t="s">
        <v>2283</v>
      </c>
      <c r="G138" s="1888" t="s">
        <v>2281</v>
      </c>
      <c r="H138" s="1891" t="s">
        <v>2282</v>
      </c>
      <c r="I138" s="1892"/>
      <c r="J138" s="1888" t="s">
        <v>2284</v>
      </c>
      <c r="K138" s="1891" t="s">
        <v>2285</v>
      </c>
    </row>
    <row r="139" spans="1:17" ht="15">
      <c r="B139" s="1893">
        <v>6</v>
      </c>
      <c r="C139" s="1894">
        <v>96</v>
      </c>
      <c r="D139" s="1895" t="s">
        <v>2286</v>
      </c>
      <c r="E139" s="1896">
        <v>100</v>
      </c>
      <c r="F139" s="1897">
        <v>102.5</v>
      </c>
      <c r="G139" s="1895" t="s">
        <v>2286</v>
      </c>
      <c r="H139" s="1898">
        <v>105</v>
      </c>
      <c r="I139" s="1899" t="s">
        <v>2287</v>
      </c>
      <c r="J139" s="1894">
        <v>20</v>
      </c>
      <c r="K139" s="1900">
        <f>C145/(J139-2)</f>
        <v>4.0555555555555553E-3</v>
      </c>
    </row>
    <row r="140" spans="1:17" ht="15">
      <c r="B140" s="1901">
        <v>5</v>
      </c>
      <c r="C140" s="1902">
        <v>100</v>
      </c>
      <c r="D140" s="1902"/>
      <c r="E140" s="1903"/>
      <c r="F140" s="1904">
        <v>102</v>
      </c>
      <c r="G140" s="1902"/>
      <c r="H140" s="1905"/>
      <c r="I140" s="1906" t="s">
        <v>2288</v>
      </c>
      <c r="J140" s="1907">
        <f>ROUNDUP((J139-1)/2,0)</f>
        <v>10</v>
      </c>
      <c r="K140" s="1908">
        <v>100</v>
      </c>
    </row>
    <row r="141" spans="1:17" ht="15">
      <c r="B141" s="1901">
        <v>4</v>
      </c>
      <c r="C141" s="1902">
        <v>102</v>
      </c>
      <c r="D141" s="1902"/>
      <c r="E141" s="1903"/>
      <c r="F141" s="1904">
        <v>101.5</v>
      </c>
      <c r="G141" s="1902"/>
      <c r="H141" s="1905"/>
      <c r="I141" s="1906" t="s">
        <v>2289</v>
      </c>
      <c r="J141" s="1907">
        <v>1</v>
      </c>
      <c r="K141" s="1909">
        <f>ROUND(100+(J141-J140)*K139*100,1)</f>
        <v>96.4</v>
      </c>
    </row>
    <row r="142" spans="1:17" ht="15">
      <c r="B142" s="1901">
        <v>3</v>
      </c>
      <c r="C142" s="1902">
        <v>103</v>
      </c>
      <c r="D142" s="1902"/>
      <c r="E142" s="1903"/>
      <c r="F142" s="1904">
        <v>101</v>
      </c>
      <c r="G142" s="1902"/>
      <c r="H142" s="1905"/>
      <c r="I142" s="1906" t="s">
        <v>2290</v>
      </c>
      <c r="J142" s="1907">
        <f>J139</f>
        <v>20</v>
      </c>
      <c r="K142" s="1910">
        <v>95</v>
      </c>
    </row>
    <row r="143" spans="1:17" ht="15">
      <c r="B143" s="1901">
        <v>2</v>
      </c>
      <c r="C143" s="1902">
        <v>100</v>
      </c>
      <c r="D143" s="1902"/>
      <c r="E143" s="1903"/>
      <c r="F143" s="1904">
        <v>100.5</v>
      </c>
      <c r="G143" s="1902"/>
      <c r="H143" s="1905"/>
      <c r="I143" s="1906" t="s">
        <v>2291</v>
      </c>
      <c r="J143" s="1902">
        <v>15</v>
      </c>
      <c r="K143" s="1909">
        <f>ROUND(100+(J143-J140)*K139*100,1)</f>
        <v>102</v>
      </c>
    </row>
    <row r="144" spans="1:17" ht="15">
      <c r="B144" s="1901">
        <v>1</v>
      </c>
      <c r="C144" s="1902">
        <v>98</v>
      </c>
      <c r="D144" s="1389" t="s">
        <v>2292</v>
      </c>
      <c r="E144" s="1903">
        <v>102</v>
      </c>
      <c r="F144" s="1911">
        <v>100</v>
      </c>
      <c r="G144" s="1389" t="s">
        <v>2292</v>
      </c>
      <c r="H144" s="1905">
        <v>105</v>
      </c>
      <c r="I144" s="1906" t="s">
        <v>2291</v>
      </c>
      <c r="J144" s="1902">
        <v>18</v>
      </c>
      <c r="K144" s="1909">
        <f>ROUND(100+(J144-J140)*K139*100,1)</f>
        <v>103.2</v>
      </c>
    </row>
    <row r="145" spans="2:11" ht="15.75" thickBot="1">
      <c r="B145" s="1912" t="s">
        <v>2293</v>
      </c>
      <c r="C145" s="1913">
        <f>ROUND(MAX(C139:C144)/MIN(C139:C144)-1,3)</f>
        <v>7.2999999999999995E-2</v>
      </c>
      <c r="D145" s="1914"/>
      <c r="E145" s="1914"/>
      <c r="F145" s="1543" t="s">
        <v>2294</v>
      </c>
      <c r="G145" s="1915"/>
      <c r="H145" s="1916"/>
      <c r="I145" s="1917" t="s">
        <v>2291</v>
      </c>
      <c r="J145" s="1918">
        <v>8</v>
      </c>
      <c r="K145" s="1919">
        <f>ROUND(100+(J145-J140)*K139*100,1)</f>
        <v>99.2</v>
      </c>
    </row>
    <row r="147" spans="2:11">
      <c r="B147" s="1542" t="s">
        <v>2295</v>
      </c>
    </row>
    <row r="148" spans="2:11">
      <c r="B148" s="1542"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3" priority="20" stopIfTrue="1" operator="containsText" text="超过">
      <formula>NOT(ISERROR(SEARCH("超过",F52)))</formula>
    </cfRule>
  </conditionalFormatting>
  <conditionalFormatting sqref="J54">
    <cfRule type="containsText" dxfId="112" priority="19" stopIfTrue="1" operator="containsText" text="超过">
      <formula>NOT(ISERROR(SEARCH("超过",J54)))</formula>
    </cfRule>
  </conditionalFormatting>
  <conditionalFormatting sqref="H54">
    <cfRule type="containsText" dxfId="111" priority="18" stopIfTrue="1" operator="containsText" text="超过">
      <formula>NOT(ISERROR(SEARCH("超过",H54)))</formula>
    </cfRule>
  </conditionalFormatting>
  <conditionalFormatting sqref="F54">
    <cfRule type="containsText" dxfId="110" priority="17" stopIfTrue="1" operator="containsText" text="超过">
      <formula>NOT(ISERROR(SEARCH("超过",F54)))</formula>
    </cfRule>
  </conditionalFormatting>
  <conditionalFormatting sqref="F53 H53 J53">
    <cfRule type="containsText" dxfId="109" priority="16" stopIfTrue="1" operator="containsText" text="超过">
      <formula>NOT(ISERROR(SEARCH("超过",F53)))</formula>
    </cfRule>
  </conditionalFormatting>
  <conditionalFormatting sqref="E52">
    <cfRule type="expression" dxfId="108" priority="15" stopIfTrue="1">
      <formula>$F$52="超过30%"</formula>
    </cfRule>
  </conditionalFormatting>
  <conditionalFormatting sqref="G54">
    <cfRule type="expression" dxfId="107" priority="13" stopIfTrue="1">
      <formula>$H$54="超过30%"</formula>
    </cfRule>
  </conditionalFormatting>
  <conditionalFormatting sqref="E53">
    <cfRule type="expression" dxfId="106" priority="12" stopIfTrue="1">
      <formula>$F$53="超过20%"</formula>
    </cfRule>
  </conditionalFormatting>
  <conditionalFormatting sqref="E54">
    <cfRule type="expression" dxfId="105" priority="11" stopIfTrue="1">
      <formula>$F$54="超过30%"</formula>
    </cfRule>
  </conditionalFormatting>
  <conditionalFormatting sqref="G52">
    <cfRule type="expression" dxfId="104" priority="10" stopIfTrue="1">
      <formula>$H$52="超过30%"</formula>
    </cfRule>
  </conditionalFormatting>
  <conditionalFormatting sqref="G53">
    <cfRule type="expression" dxfId="103" priority="9" stopIfTrue="1">
      <formula>$H$53="超过20%"</formula>
    </cfRule>
  </conditionalFormatting>
  <conditionalFormatting sqref="I52">
    <cfRule type="expression" dxfId="102" priority="8" stopIfTrue="1">
      <formula>$J$52="超过30%"</formula>
    </cfRule>
  </conditionalFormatting>
  <conditionalFormatting sqref="I53">
    <cfRule type="expression" dxfId="101" priority="7" stopIfTrue="1">
      <formula>$J$53="超过20%"</formula>
    </cfRule>
  </conditionalFormatting>
  <conditionalFormatting sqref="I54">
    <cfRule type="expression" dxfId="100" priority="6" stopIfTrue="1">
      <formula>$J$54="超过30%"</formula>
    </cfRule>
  </conditionalFormatting>
  <conditionalFormatting sqref="F48">
    <cfRule type="expression" dxfId="99" priority="4">
      <formula>$D$48="简单平均"</formula>
    </cfRule>
  </conditionalFormatting>
  <conditionalFormatting sqref="H48">
    <cfRule type="expression" dxfId="98" priority="3">
      <formula>$D$48="简单平均"</formula>
    </cfRule>
  </conditionalFormatting>
  <conditionalFormatting sqref="J48">
    <cfRule type="expression" dxfId="97" priority="2">
      <formula>$D$48="简单平均"</formula>
    </cfRule>
  </conditionalFormatting>
  <conditionalFormatting sqref="F7:F46 H7:H46 J7:J46">
    <cfRule type="cellIs" dxfId="9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2297</v>
      </c>
      <c r="C1" s="1608"/>
      <c r="D1" s="2439"/>
      <c r="E1" s="1610"/>
      <c r="F1" s="1611" t="s">
        <v>2186</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1857</v>
      </c>
      <c r="B2" s="1619" t="e">
        <f ca="1">IF(D2="——",IF(C2="元",ROUND(C49*D3,0),ROUND(C49*D3/10000,0)),IF(C2="元",ROUND(C49*D3,0),ROUND(C49*D3/10000,0))-E2)</f>
        <v>#DIV/0!</v>
      </c>
      <c r="C2" s="1620" t="str">
        <f>'数据-取费表'!B3</f>
        <v>万元</v>
      </c>
      <c r="D2" s="1621"/>
      <c r="E2" s="2440" t="e">
        <f ca="1">SUMIF(INDIRECT("'"&amp;G2&amp;"'"&amp;"!A:A"),"承租人权益价值",INDIRECT("'"&amp;G2&amp;"'"&amp;"!c:c"))</f>
        <v>#REF!</v>
      </c>
      <c r="F2" s="1623" t="str">
        <f>C2</f>
        <v>万元</v>
      </c>
      <c r="G2" s="1624"/>
      <c r="H2" s="2979"/>
      <c r="I2" s="2979"/>
      <c r="J2" s="2979"/>
      <c r="K2" s="2979"/>
      <c r="L2" s="2981"/>
      <c r="M2" s="2979"/>
      <c r="N2" s="2979"/>
      <c r="O2" s="2979"/>
      <c r="P2" s="2441"/>
      <c r="Q2" s="1926"/>
      <c r="R2" s="1926"/>
      <c r="S2" s="1926"/>
      <c r="T2" s="1926"/>
      <c r="U2" s="1926"/>
      <c r="V2" s="1926"/>
      <c r="W2" s="1926"/>
      <c r="X2" s="1926"/>
      <c r="Y2" s="1926"/>
      <c r="Z2" s="1926"/>
      <c r="AA2" s="1926"/>
      <c r="AB2" s="1926"/>
      <c r="AC2" s="1927"/>
    </row>
    <row r="3" spans="1:29" s="1929" customFormat="1" ht="28.5" customHeight="1" thickBot="1">
      <c r="A3" s="1628" t="s">
        <v>1858</v>
      </c>
      <c r="B3" s="1932" t="e">
        <f ca="1">ROUND(IF(D2="——",C49,IF(C2="万元",B2*10000/D3,B2/D3)),0)</f>
        <v>#DIV/0!</v>
      </c>
      <c r="C3" s="1629" t="s">
        <v>2187</v>
      </c>
      <c r="D3" s="1629">
        <f>IF(C1="仅计算典型户型",'数据-取费表'!E5,'数据-取费表'!B5)</f>
        <v>393.43</v>
      </c>
      <c r="F3" s="2978"/>
      <c r="G3" s="2979"/>
      <c r="H3" s="2979"/>
      <c r="I3" s="2979"/>
      <c r="J3" s="2979"/>
      <c r="K3" s="2980"/>
      <c r="L3" s="2981"/>
      <c r="M3" s="2979"/>
      <c r="N3" s="2979"/>
      <c r="O3" s="2979"/>
      <c r="P3" s="2441"/>
      <c r="Q3" s="1926"/>
      <c r="R3" s="1926"/>
      <c r="S3" s="1926"/>
      <c r="T3" s="1926"/>
      <c r="U3" s="1926"/>
      <c r="V3" s="1926"/>
      <c r="W3" s="1926"/>
      <c r="X3" s="1926"/>
      <c r="Y3" s="1926"/>
      <c r="Z3" s="1926"/>
      <c r="AA3" s="1926"/>
      <c r="AB3" s="1926"/>
      <c r="AC3" s="1934"/>
    </row>
    <row r="4" spans="1:29" ht="15">
      <c r="A4" s="1632" t="s">
        <v>2188</v>
      </c>
      <c r="B4" s="1633"/>
      <c r="C4" s="3635" t="s">
        <v>2189</v>
      </c>
      <c r="D4" s="3636"/>
      <c r="E4" s="3637" t="s">
        <v>2190</v>
      </c>
      <c r="F4" s="3638"/>
      <c r="G4" s="3635" t="s">
        <v>2191</v>
      </c>
      <c r="H4" s="3636"/>
      <c r="I4" s="3635" t="s">
        <v>2192</v>
      </c>
      <c r="J4" s="3636"/>
      <c r="K4" s="1935" t="s">
        <v>2193</v>
      </c>
      <c r="L4" s="2964"/>
      <c r="M4" s="2965"/>
      <c r="N4" s="2965"/>
      <c r="O4" s="2965"/>
      <c r="P4" s="3639" t="s">
        <v>2194</v>
      </c>
      <c r="Q4" s="3640"/>
      <c r="R4" s="3645" t="s">
        <v>2190</v>
      </c>
      <c r="S4" s="3646"/>
      <c r="T4" s="3645" t="s">
        <v>2191</v>
      </c>
      <c r="U4" s="3646"/>
      <c r="V4" s="3651" t="s">
        <v>2192</v>
      </c>
      <c r="W4" s="3651"/>
      <c r="X4" s="2044"/>
      <c r="Y4" s="3645" t="s">
        <v>2194</v>
      </c>
      <c r="Z4" s="3646"/>
      <c r="AA4" s="3632" t="s">
        <v>2190</v>
      </c>
      <c r="AB4" s="3651" t="s">
        <v>2191</v>
      </c>
      <c r="AC4" s="3632" t="s">
        <v>2192</v>
      </c>
    </row>
    <row r="5" spans="1:29" ht="15">
      <c r="A5" s="1637"/>
      <c r="B5" s="1638"/>
      <c r="C5" s="3628" t="s">
        <v>2195</v>
      </c>
      <c r="D5" s="3629"/>
      <c r="E5" s="3652" t="s">
        <v>2196</v>
      </c>
      <c r="F5" s="3653"/>
      <c r="G5" s="3628" t="s">
        <v>2197</v>
      </c>
      <c r="H5" s="3629"/>
      <c r="I5" s="3628" t="s">
        <v>2198</v>
      </c>
      <c r="J5" s="3629"/>
      <c r="K5" s="1935"/>
      <c r="L5" s="2964"/>
      <c r="M5" s="2965"/>
      <c r="N5" s="2965"/>
      <c r="O5" s="2965"/>
      <c r="P5" s="3641"/>
      <c r="Q5" s="3642"/>
      <c r="R5" s="3647"/>
      <c r="S5" s="3648"/>
      <c r="T5" s="3647"/>
      <c r="U5" s="3648"/>
      <c r="V5" s="3651"/>
      <c r="W5" s="3651"/>
      <c r="X5" s="2044"/>
      <c r="Y5" s="3647"/>
      <c r="Z5" s="3648"/>
      <c r="AA5" s="3633"/>
      <c r="AB5" s="3651"/>
      <c r="AC5" s="3633"/>
    </row>
    <row r="6" spans="1:29" ht="15.75" thickBot="1">
      <c r="A6" s="1640"/>
      <c r="B6" s="1641"/>
      <c r="C6" s="3625" t="s">
        <v>2199</v>
      </c>
      <c r="D6" s="3626"/>
      <c r="E6" s="3623" t="s">
        <v>2199</v>
      </c>
      <c r="F6" s="3624"/>
      <c r="G6" s="3625" t="s">
        <v>2199</v>
      </c>
      <c r="H6" s="3626"/>
      <c r="I6" s="3625" t="s">
        <v>2199</v>
      </c>
      <c r="J6" s="3626"/>
      <c r="K6" s="1935" t="s">
        <v>2200</v>
      </c>
      <c r="L6" s="2964"/>
      <c r="M6" s="2965"/>
      <c r="N6" s="2965"/>
      <c r="O6" s="2965"/>
      <c r="P6" s="3643"/>
      <c r="Q6" s="3644"/>
      <c r="R6" s="3647"/>
      <c r="S6" s="3648"/>
      <c r="T6" s="3649"/>
      <c r="U6" s="3650"/>
      <c r="V6" s="3651"/>
      <c r="W6" s="3651"/>
      <c r="X6" s="2044"/>
      <c r="Y6" s="3649"/>
      <c r="Z6" s="3650"/>
      <c r="AA6" s="3634"/>
      <c r="AB6" s="3651"/>
      <c r="AC6" s="3634"/>
    </row>
    <row r="7" spans="1:29" s="1654" customFormat="1" ht="15.75" thickBot="1">
      <c r="A7" s="1642" t="s">
        <v>2201</v>
      </c>
      <c r="B7" s="1643"/>
      <c r="C7" s="1644">
        <f>'数据-取费表'!B2</f>
        <v>44561</v>
      </c>
      <c r="D7" s="1645">
        <v>100</v>
      </c>
      <c r="E7" s="1646"/>
      <c r="F7" s="1647">
        <f>SUMIF(58:58,YEAR(E7)&amp;"-"&amp;MONTH(E7),59:59)</f>
        <v>0</v>
      </c>
      <c r="G7" s="1646"/>
      <c r="H7" s="1645">
        <f>SUMIF(58:58,YEAR(G7)&amp;"-"&amp;MONTH(G7),59:59)</f>
        <v>0</v>
      </c>
      <c r="I7" s="1646"/>
      <c r="J7" s="1645">
        <f>SUMIF(58:58,YEAR(I7)&amp;"-"&amp;MONTH(I7),59:59)</f>
        <v>0</v>
      </c>
      <c r="K7" s="1937"/>
      <c r="L7" s="2964"/>
      <c r="M7" s="2937"/>
      <c r="N7" s="2937"/>
      <c r="O7" s="2937"/>
      <c r="P7" s="3630" t="s">
        <v>2202</v>
      </c>
      <c r="Q7" s="3654"/>
      <c r="R7" s="1650" t="s">
        <v>25</v>
      </c>
      <c r="S7" s="1651">
        <f t="shared" ref="S7:S15" si="0">F7</f>
        <v>0</v>
      </c>
      <c r="T7" s="1650" t="s">
        <v>25</v>
      </c>
      <c r="U7" s="1651">
        <f t="shared" ref="U7:U15" si="1">H7</f>
        <v>0</v>
      </c>
      <c r="V7" s="1650" t="s">
        <v>25</v>
      </c>
      <c r="W7" s="1651">
        <f t="shared" ref="W7:W15" si="2">J7</f>
        <v>0</v>
      </c>
      <c r="X7" s="1652"/>
      <c r="Y7" s="3630" t="s">
        <v>2202</v>
      </c>
      <c r="Z7" s="3631"/>
      <c r="AA7" s="1653" t="e">
        <f>D7/F7</f>
        <v>#DIV/0!</v>
      </c>
      <c r="AB7" s="1653" t="e">
        <f>D7/H7</f>
        <v>#DIV/0!</v>
      </c>
      <c r="AC7" s="1653" t="e">
        <f>D7/J7</f>
        <v>#DIV/0!</v>
      </c>
    </row>
    <row r="8" spans="1:29" s="1654" customFormat="1" ht="15.75" thickBot="1">
      <c r="A8" s="1642" t="s">
        <v>2203</v>
      </c>
      <c r="B8" s="1643"/>
      <c r="C8" s="1655" t="s">
        <v>2204</v>
      </c>
      <c r="D8" s="1645">
        <v>100</v>
      </c>
      <c r="E8" s="1655"/>
      <c r="F8" s="1647">
        <f>SUMIF(61:61,E8,62:62)-SUMIF(61:61,C8,62:62)+100</f>
        <v>0</v>
      </c>
      <c r="G8" s="1655"/>
      <c r="H8" s="1645">
        <f>SUMIF(61:61,G8,62:62)-SUMIF(61:61,C8,62:62)+100</f>
        <v>0</v>
      </c>
      <c r="I8" s="1655"/>
      <c r="J8" s="1645">
        <f>SUMIF(61:61,I8,62:62)-SUMIF(61:61,C8,62:62)+100</f>
        <v>0</v>
      </c>
      <c r="K8" s="1937"/>
      <c r="L8" s="2964"/>
      <c r="M8" s="2937"/>
      <c r="N8" s="2937"/>
      <c r="O8" s="2937"/>
      <c r="P8" s="3630" t="s">
        <v>2205</v>
      </c>
      <c r="Q8" s="3631"/>
      <c r="R8" s="1650" t="s">
        <v>25</v>
      </c>
      <c r="S8" s="1651">
        <f t="shared" si="0"/>
        <v>0</v>
      </c>
      <c r="T8" s="1650" t="s">
        <v>25</v>
      </c>
      <c r="U8" s="1651">
        <f t="shared" si="1"/>
        <v>0</v>
      </c>
      <c r="V8" s="1650" t="s">
        <v>25</v>
      </c>
      <c r="W8" s="1651">
        <f t="shared" si="2"/>
        <v>0</v>
      </c>
      <c r="X8" s="1652"/>
      <c r="Y8" s="3630" t="s">
        <v>2205</v>
      </c>
      <c r="Z8" s="3631"/>
      <c r="AA8" s="1653" t="e">
        <f t="shared" ref="AA8:AA46" si="3">D8/F8</f>
        <v>#DIV/0!</v>
      </c>
      <c r="AB8" s="1653" t="e">
        <f t="shared" ref="AB8:AB46" si="4">D8/H8</f>
        <v>#DIV/0!</v>
      </c>
      <c r="AC8" s="1653" t="e">
        <f t="shared" ref="AC8:AC46" si="5">D8/J8</f>
        <v>#DIV/0!</v>
      </c>
    </row>
    <row r="9" spans="1:29" s="1654" customFormat="1">
      <c r="A9" s="2036" t="s">
        <v>2206</v>
      </c>
      <c r="B9" s="1657" t="s">
        <v>2207</v>
      </c>
      <c r="C9" s="1658"/>
      <c r="D9" s="1659">
        <v>100</v>
      </c>
      <c r="E9" s="1660"/>
      <c r="F9" s="1661">
        <f>SUMIF(63:63,E9,64:64)-SUMIF(63:63,C9,64:64)+100</f>
        <v>100</v>
      </c>
      <c r="G9" s="1660"/>
      <c r="H9" s="1659">
        <f>SUMIF(63:63,G9,64:64)-SUMIF(63:63,C9,64:64)+100</f>
        <v>100</v>
      </c>
      <c r="I9" s="1660"/>
      <c r="J9" s="1659">
        <f>SUMIF(63:63,I9,64:64)-SUMIF(63:63,C9,64:64)+100</f>
        <v>100</v>
      </c>
      <c r="K9" s="1937"/>
      <c r="L9" s="2964"/>
      <c r="M9" s="2937"/>
      <c r="N9" s="2937"/>
      <c r="O9" s="2937"/>
      <c r="P9" s="3694" t="s">
        <v>2208</v>
      </c>
      <c r="Q9" s="2035" t="str">
        <f t="shared" ref="Q9:Q15" si="6">B9</f>
        <v>用途</v>
      </c>
      <c r="R9" s="1650" t="s">
        <v>25</v>
      </c>
      <c r="S9" s="1651">
        <f t="shared" si="0"/>
        <v>100</v>
      </c>
      <c r="T9" s="1650" t="s">
        <v>25</v>
      </c>
      <c r="U9" s="1651">
        <f t="shared" si="1"/>
        <v>100</v>
      </c>
      <c r="V9" s="1650" t="s">
        <v>25</v>
      </c>
      <c r="W9" s="1651">
        <f t="shared" si="2"/>
        <v>100</v>
      </c>
      <c r="X9" s="1652"/>
      <c r="Y9" s="3486" t="s">
        <v>2209</v>
      </c>
      <c r="Z9" s="1663" t="str">
        <f t="shared" ref="Z9:Z15" si="7">Q9</f>
        <v>用途</v>
      </c>
      <c r="AA9" s="1653">
        <f t="shared" si="3"/>
        <v>1</v>
      </c>
      <c r="AB9" s="1653">
        <f t="shared" si="4"/>
        <v>1</v>
      </c>
      <c r="AC9" s="1653">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962"/>
      <c r="L10" s="2966"/>
      <c r="M10" s="2967"/>
      <c r="N10" s="2967"/>
      <c r="O10" s="2967"/>
      <c r="P10" s="3694"/>
      <c r="Q10" s="2035" t="str">
        <f t="shared" si="6"/>
        <v>土地使用年限（年）</v>
      </c>
      <c r="R10" s="1650" t="s">
        <v>25</v>
      </c>
      <c r="S10" s="1651">
        <f t="shared" si="0"/>
        <v>100</v>
      </c>
      <c r="T10" s="1650" t="s">
        <v>25</v>
      </c>
      <c r="U10" s="1651">
        <f t="shared" si="1"/>
        <v>100</v>
      </c>
      <c r="V10" s="1650" t="s">
        <v>25</v>
      </c>
      <c r="W10" s="1651">
        <f t="shared" si="2"/>
        <v>100</v>
      </c>
      <c r="X10" s="1652"/>
      <c r="Y10" s="3486"/>
      <c r="Z10" s="1663" t="str">
        <f t="shared" si="7"/>
        <v>土地使用年限（年）</v>
      </c>
      <c r="AA10" s="1653">
        <f t="shared" si="3"/>
        <v>1</v>
      </c>
      <c r="AB10" s="1653">
        <f t="shared" si="4"/>
        <v>1</v>
      </c>
      <c r="AC10" s="1653">
        <f t="shared" si="5"/>
        <v>1</v>
      </c>
    </row>
    <row r="11" spans="1:29" ht="15">
      <c r="A11" s="1672"/>
      <c r="B11" s="1665" t="s">
        <v>2211</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68"/>
      <c r="M11" s="2965"/>
      <c r="N11" s="2965"/>
      <c r="O11" s="2965"/>
      <c r="P11" s="3694"/>
      <c r="Q11" s="2035" t="str">
        <f t="shared" si="6"/>
        <v>容积率</v>
      </c>
      <c r="R11" s="1650" t="s">
        <v>25</v>
      </c>
      <c r="S11" s="1651" t="e">
        <f t="shared" si="0"/>
        <v>#N/A</v>
      </c>
      <c r="T11" s="1650" t="s">
        <v>25</v>
      </c>
      <c r="U11" s="1651" t="e">
        <f t="shared" si="1"/>
        <v>#N/A</v>
      </c>
      <c r="V11" s="1650" t="s">
        <v>25</v>
      </c>
      <c r="W11" s="1651" t="e">
        <f t="shared" si="2"/>
        <v>#N/A</v>
      </c>
      <c r="X11" s="1652"/>
      <c r="Y11" s="3486"/>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64"/>
      <c r="M12" s="2937"/>
      <c r="N12" s="2937"/>
      <c r="O12" s="2937"/>
      <c r="P12" s="3694"/>
      <c r="Q12" s="2035">
        <f t="shared" si="6"/>
        <v>111</v>
      </c>
      <c r="R12" s="1650" t="s">
        <v>25</v>
      </c>
      <c r="S12" s="1651">
        <f t="shared" si="0"/>
        <v>100</v>
      </c>
      <c r="T12" s="1650" t="s">
        <v>25</v>
      </c>
      <c r="U12" s="1651">
        <f t="shared" si="1"/>
        <v>100</v>
      </c>
      <c r="V12" s="1650" t="s">
        <v>25</v>
      </c>
      <c r="W12" s="1651">
        <f t="shared" si="2"/>
        <v>100</v>
      </c>
      <c r="X12" s="1652"/>
      <c r="Y12" s="3486"/>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69"/>
      <c r="M13" s="2965"/>
      <c r="N13" s="2965"/>
      <c r="O13" s="2965"/>
      <c r="P13" s="3694"/>
      <c r="Q13" s="2035">
        <f t="shared" si="6"/>
        <v>111</v>
      </c>
      <c r="R13" s="1650" t="s">
        <v>25</v>
      </c>
      <c r="S13" s="1651">
        <f t="shared" si="0"/>
        <v>100</v>
      </c>
      <c r="T13" s="1650" t="s">
        <v>25</v>
      </c>
      <c r="U13" s="1651">
        <f t="shared" si="1"/>
        <v>100</v>
      </c>
      <c r="V13" s="1650" t="s">
        <v>25</v>
      </c>
      <c r="W13" s="1651">
        <f t="shared" si="2"/>
        <v>100</v>
      </c>
      <c r="X13" s="1652"/>
      <c r="Y13" s="3486"/>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69"/>
      <c r="M14" s="2965"/>
      <c r="N14" s="2965"/>
      <c r="O14" s="2965"/>
      <c r="P14" s="3694"/>
      <c r="Q14" s="2035">
        <f t="shared" si="6"/>
        <v>111</v>
      </c>
      <c r="R14" s="1650" t="s">
        <v>25</v>
      </c>
      <c r="S14" s="1651">
        <f t="shared" si="0"/>
        <v>100</v>
      </c>
      <c r="T14" s="1650" t="s">
        <v>25</v>
      </c>
      <c r="U14" s="1651">
        <f t="shared" si="1"/>
        <v>100</v>
      </c>
      <c r="V14" s="1650" t="s">
        <v>25</v>
      </c>
      <c r="W14" s="1651">
        <f t="shared" si="2"/>
        <v>100</v>
      </c>
      <c r="X14" s="1652"/>
      <c r="Y14" s="3486"/>
      <c r="Z14" s="1663">
        <f t="shared" si="7"/>
        <v>111</v>
      </c>
      <c r="AA14" s="1653">
        <f t="shared" si="3"/>
        <v>1</v>
      </c>
      <c r="AB14" s="1653">
        <f t="shared" si="4"/>
        <v>1</v>
      </c>
      <c r="AC14" s="1653">
        <f t="shared" si="5"/>
        <v>1</v>
      </c>
    </row>
    <row r="15" spans="1:29" ht="71.25">
      <c r="A15" s="1687" t="s">
        <v>2212</v>
      </c>
      <c r="B15" s="1688" t="s">
        <v>2298</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2"/>
      <c r="L15" s="2969"/>
      <c r="M15" s="2965"/>
      <c r="N15" s="2965"/>
      <c r="O15" s="2965"/>
      <c r="P15" s="3695" t="s">
        <v>2213</v>
      </c>
      <c r="Q15" s="2041" t="str">
        <f t="shared" si="6"/>
        <v>商业繁华度</v>
      </c>
      <c r="R15" s="1695" t="s">
        <v>25</v>
      </c>
      <c r="S15" s="1696">
        <f t="shared" si="0"/>
        <v>100</v>
      </c>
      <c r="T15" s="1695" t="s">
        <v>25</v>
      </c>
      <c r="U15" s="1696">
        <f t="shared" si="1"/>
        <v>100</v>
      </c>
      <c r="V15" s="1695" t="s">
        <v>25</v>
      </c>
      <c r="W15" s="1696">
        <f t="shared" si="2"/>
        <v>100</v>
      </c>
      <c r="X15" s="2044"/>
      <c r="Y15" s="3655" t="s">
        <v>2213</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43"/>
      <c r="L16" s="2969"/>
      <c r="M16" s="2965"/>
      <c r="N16" s="2965"/>
      <c r="O16" s="2965"/>
      <c r="P16" s="3696"/>
      <c r="Q16" s="2041"/>
      <c r="R16" s="1695"/>
      <c r="S16" s="1696"/>
      <c r="T16" s="1695"/>
      <c r="U16" s="1696"/>
      <c r="V16" s="1695"/>
      <c r="W16" s="1696"/>
      <c r="X16" s="2044"/>
      <c r="Y16" s="3656"/>
      <c r="Z16" s="2048"/>
      <c r="AA16" s="2039">
        <v>1</v>
      </c>
      <c r="AB16" s="2039">
        <v>1</v>
      </c>
      <c r="AC16" s="2039">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2"/>
      <c r="L17" s="2969"/>
      <c r="M17" s="2965"/>
      <c r="N17" s="2965"/>
      <c r="O17" s="2965"/>
      <c r="P17" s="3696"/>
      <c r="Q17" s="2041" t="str">
        <f>B17</f>
        <v>交通便捷度</v>
      </c>
      <c r="R17" s="1695" t="s">
        <v>25</v>
      </c>
      <c r="S17" s="1696">
        <f>F17</f>
        <v>100</v>
      </c>
      <c r="T17" s="1695" t="s">
        <v>25</v>
      </c>
      <c r="U17" s="1696">
        <f>H17</f>
        <v>100</v>
      </c>
      <c r="V17" s="1695" t="s">
        <v>25</v>
      </c>
      <c r="W17" s="1696">
        <f>J17</f>
        <v>100</v>
      </c>
      <c r="X17" s="2044"/>
      <c r="Y17" s="3656"/>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43"/>
      <c r="L18" s="2969"/>
      <c r="M18" s="2965"/>
      <c r="N18" s="2965"/>
      <c r="O18" s="2965"/>
      <c r="P18" s="3696"/>
      <c r="Q18" s="2041"/>
      <c r="R18" s="1695"/>
      <c r="S18" s="1696"/>
      <c r="T18" s="1695"/>
      <c r="U18" s="1696"/>
      <c r="V18" s="1695"/>
      <c r="W18" s="1696"/>
      <c r="X18" s="2044"/>
      <c r="Y18" s="3656"/>
      <c r="Z18" s="2048"/>
      <c r="AA18" s="2039">
        <v>1</v>
      </c>
      <c r="AB18" s="2039">
        <v>1</v>
      </c>
      <c r="AC18" s="2039">
        <v>1</v>
      </c>
    </row>
    <row r="19" spans="1:29" ht="42.75">
      <c r="A19" s="1672"/>
      <c r="B19" s="1707" t="s">
        <v>2299</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2"/>
      <c r="L19" s="2969"/>
      <c r="M19" s="2965"/>
      <c r="N19" s="2965"/>
      <c r="O19" s="2965"/>
      <c r="P19" s="3696"/>
      <c r="Q19" s="2041" t="str">
        <f>B19</f>
        <v>公共配套设施</v>
      </c>
      <c r="R19" s="1695" t="s">
        <v>25</v>
      </c>
      <c r="S19" s="1696">
        <f>F19</f>
        <v>100</v>
      </c>
      <c r="T19" s="1695" t="s">
        <v>25</v>
      </c>
      <c r="U19" s="1696">
        <f>H19</f>
        <v>100</v>
      </c>
      <c r="V19" s="1695" t="s">
        <v>25</v>
      </c>
      <c r="W19" s="1696">
        <f>J19</f>
        <v>100</v>
      </c>
      <c r="X19" s="2044"/>
      <c r="Y19" s="3656"/>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43"/>
      <c r="L20" s="2969"/>
      <c r="M20" s="2965"/>
      <c r="N20" s="2965"/>
      <c r="O20" s="2965"/>
      <c r="P20" s="3696"/>
      <c r="Q20" s="2041"/>
      <c r="R20" s="1695"/>
      <c r="S20" s="1696"/>
      <c r="T20" s="1695"/>
      <c r="U20" s="1696"/>
      <c r="V20" s="1695"/>
      <c r="W20" s="1696"/>
      <c r="X20" s="2044"/>
      <c r="Y20" s="3656"/>
      <c r="Z20" s="2048"/>
      <c r="AA20" s="2039">
        <v>1</v>
      </c>
      <c r="AB20" s="2039">
        <v>1</v>
      </c>
      <c r="AC20" s="2039">
        <v>1</v>
      </c>
    </row>
    <row r="21" spans="1:29" ht="28.5">
      <c r="A21" s="1672"/>
      <c r="B21" s="1720" t="s">
        <v>2300</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2"/>
      <c r="L21" s="2969"/>
      <c r="M21" s="2965"/>
      <c r="N21" s="2965"/>
      <c r="O21" s="2965"/>
      <c r="P21" s="3696"/>
      <c r="Q21" s="2041" t="str">
        <f>B21</f>
        <v>基础设施水平</v>
      </c>
      <c r="R21" s="1695" t="s">
        <v>25</v>
      </c>
      <c r="S21" s="1696">
        <f>F21</f>
        <v>100</v>
      </c>
      <c r="T21" s="1695" t="s">
        <v>25</v>
      </c>
      <c r="U21" s="1696">
        <f>H21</f>
        <v>100</v>
      </c>
      <c r="V21" s="1695" t="s">
        <v>25</v>
      </c>
      <c r="W21" s="1696">
        <f>J21</f>
        <v>100</v>
      </c>
      <c r="X21" s="2044"/>
      <c r="Y21" s="3656"/>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44"/>
      <c r="L22" s="2969"/>
      <c r="M22" s="2965"/>
      <c r="N22" s="2965"/>
      <c r="O22" s="2965"/>
      <c r="P22" s="3696"/>
      <c r="Q22" s="2041"/>
      <c r="R22" s="1695"/>
      <c r="S22" s="1696"/>
      <c r="T22" s="1695"/>
      <c r="U22" s="1696"/>
      <c r="V22" s="1695"/>
      <c r="W22" s="1696"/>
      <c r="X22" s="2044"/>
      <c r="Y22" s="3656"/>
      <c r="Z22" s="2048"/>
      <c r="AA22" s="2039">
        <v>1</v>
      </c>
      <c r="AB22" s="2039">
        <v>1</v>
      </c>
      <c r="AC22" s="2039">
        <v>1</v>
      </c>
    </row>
    <row r="23" spans="1:29" ht="57">
      <c r="A23" s="1672"/>
      <c r="B23" s="1707" t="s">
        <v>1651</v>
      </c>
      <c r="C23" s="2445"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2"/>
      <c r="L23" s="2969"/>
      <c r="M23" s="2965"/>
      <c r="N23" s="2965"/>
      <c r="O23" s="2965"/>
      <c r="P23" s="3696"/>
      <c r="Q23" s="2041" t="str">
        <f>B23</f>
        <v>自然及人文环境</v>
      </c>
      <c r="R23" s="1695" t="s">
        <v>25</v>
      </c>
      <c r="S23" s="1696">
        <f>F23</f>
        <v>100</v>
      </c>
      <c r="T23" s="1695" t="s">
        <v>25</v>
      </c>
      <c r="U23" s="1696">
        <f>H23</f>
        <v>100</v>
      </c>
      <c r="V23" s="1695" t="s">
        <v>25</v>
      </c>
      <c r="W23" s="1696">
        <f>J23</f>
        <v>100</v>
      </c>
      <c r="X23" s="2044"/>
      <c r="Y23" s="3656"/>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43"/>
      <c r="L24" s="2969"/>
      <c r="M24" s="2965"/>
      <c r="N24" s="2965"/>
      <c r="O24" s="2965"/>
      <c r="P24" s="3696"/>
      <c r="Q24" s="2041"/>
      <c r="R24" s="1695"/>
      <c r="S24" s="1696"/>
      <c r="T24" s="1695"/>
      <c r="U24" s="1696"/>
      <c r="V24" s="1695"/>
      <c r="W24" s="1696"/>
      <c r="X24" s="2044"/>
      <c r="Y24" s="3656"/>
      <c r="Z24" s="2048"/>
      <c r="AA24" s="2039">
        <v>1</v>
      </c>
      <c r="AB24" s="2039">
        <v>1</v>
      </c>
      <c r="AC24" s="2039">
        <v>1</v>
      </c>
    </row>
    <row r="25" spans="1:29" ht="15">
      <c r="A25" s="1672"/>
      <c r="B25" s="1665" t="s">
        <v>2301</v>
      </c>
      <c r="C25" s="1961"/>
      <c r="D25" s="1681">
        <v>100</v>
      </c>
      <c r="E25" s="1961"/>
      <c r="F25" s="1724">
        <f>SUMIF(86:86,E25,87:87)-SUMIF(86:86,C25,87:87)+100</f>
        <v>100</v>
      </c>
      <c r="G25" s="1961"/>
      <c r="H25" s="1681">
        <f>SUMIF(86:86,G25,87:87)-SUMIF(86:86,C25,87:87)+100</f>
        <v>100</v>
      </c>
      <c r="I25" s="1961"/>
      <c r="J25" s="1681">
        <f>SUMIF(86:86,I25,87:87)-SUMIF(86:86,C25,87:87)+100</f>
        <v>100</v>
      </c>
      <c r="K25" s="1962"/>
      <c r="L25" s="2969"/>
      <c r="M25" s="2965"/>
      <c r="N25" s="2965"/>
      <c r="O25" s="2965"/>
      <c r="P25" s="3696"/>
      <c r="Q25" s="2041" t="str">
        <f t="shared" ref="Q25:Q46" si="11">B25</f>
        <v>临街状况</v>
      </c>
      <c r="R25" s="1695" t="s">
        <v>25</v>
      </c>
      <c r="S25" s="1696">
        <f>F25</f>
        <v>100</v>
      </c>
      <c r="T25" s="1695" t="s">
        <v>25</v>
      </c>
      <c r="U25" s="1696">
        <f>H25</f>
        <v>100</v>
      </c>
      <c r="V25" s="1695" t="s">
        <v>25</v>
      </c>
      <c r="W25" s="1696">
        <f>J25</f>
        <v>100</v>
      </c>
      <c r="X25" s="2044"/>
      <c r="Y25" s="3656"/>
      <c r="Z25" s="2048" t="str">
        <f>Q25</f>
        <v>临街状况</v>
      </c>
      <c r="AA25" s="2039">
        <f t="shared" si="3"/>
        <v>1</v>
      </c>
      <c r="AB25" s="2039">
        <f t="shared" si="4"/>
        <v>1</v>
      </c>
      <c r="AC25" s="2039">
        <f t="shared" si="5"/>
        <v>1</v>
      </c>
    </row>
    <row r="26" spans="1:29" ht="15">
      <c r="A26" s="1672"/>
      <c r="B26" s="1730" t="s">
        <v>2302</v>
      </c>
      <c r="C26" s="1680"/>
      <c r="D26" s="1681">
        <v>100</v>
      </c>
      <c r="E26" s="1680"/>
      <c r="F26" s="1724">
        <f>SUMIF(88:88,E26,89:89)-SUMIF(88:88,C26,89:89)+100</f>
        <v>100</v>
      </c>
      <c r="G26" s="1680"/>
      <c r="H26" s="1681">
        <f>SUMIF(88:88,G26,89:89)-SUMIF(88:88,C26,89:89)+100</f>
        <v>100</v>
      </c>
      <c r="I26" s="1680"/>
      <c r="J26" s="1681">
        <f>SUMIF(88:88,I26,89:89)-SUMIF(88:88,C26,89:89)+100</f>
        <v>100</v>
      </c>
      <c r="K26" s="1959"/>
      <c r="L26" s="2969"/>
      <c r="M26" s="2965"/>
      <c r="N26" s="2965"/>
      <c r="O26" s="2965"/>
      <c r="P26" s="3696"/>
      <c r="Q26" s="2041" t="str">
        <f t="shared" si="11"/>
        <v>平面位置/可视性</v>
      </c>
      <c r="R26" s="1695" t="s">
        <v>25</v>
      </c>
      <c r="S26" s="1696">
        <f>F26</f>
        <v>100</v>
      </c>
      <c r="T26" s="1695" t="s">
        <v>25</v>
      </c>
      <c r="U26" s="1696">
        <f>H26</f>
        <v>100</v>
      </c>
      <c r="V26" s="1695" t="s">
        <v>25</v>
      </c>
      <c r="W26" s="1696">
        <f>J26</f>
        <v>100</v>
      </c>
      <c r="X26" s="2044"/>
      <c r="Y26" s="3656"/>
      <c r="Z26" s="2048" t="str">
        <f>Q26</f>
        <v>平面位置/可视性</v>
      </c>
      <c r="AA26" s="2039">
        <f t="shared" si="3"/>
        <v>1</v>
      </c>
      <c r="AB26" s="2039">
        <f t="shared" si="4"/>
        <v>1</v>
      </c>
      <c r="AC26" s="2039">
        <f t="shared" si="5"/>
        <v>1</v>
      </c>
    </row>
    <row r="27" spans="1:29" s="1654" customFormat="1" ht="15">
      <c r="A27" s="1675"/>
      <c r="B27" s="1707" t="s">
        <v>2303</v>
      </c>
      <c r="C27" s="2446"/>
      <c r="D27" s="1726">
        <v>100</v>
      </c>
      <c r="E27" s="2446"/>
      <c r="F27" s="1728">
        <f>SUMIF(90:90,E27,91:91)-SUMIF(90:90,C27,91:91)+100</f>
        <v>100</v>
      </c>
      <c r="G27" s="2446"/>
      <c r="H27" s="1726">
        <f>SUMIF(90:90,G27,91:91)-SUMIF(90:90,C27,91:91)+100</f>
        <v>100</v>
      </c>
      <c r="I27" s="2446"/>
      <c r="J27" s="1726">
        <f>SUMIF(90:90,I27,91:91)-SUMIF(90:90,C27,91:91)+100</f>
        <v>100</v>
      </c>
      <c r="K27" s="1962"/>
      <c r="L27" s="2964"/>
      <c r="M27" s="2937"/>
      <c r="N27" s="2937"/>
      <c r="O27" s="2937"/>
      <c r="P27" s="3696"/>
      <c r="Q27" s="2035" t="str">
        <f t="shared" si="11"/>
        <v>人流量</v>
      </c>
      <c r="R27" s="1650" t="s">
        <v>25</v>
      </c>
      <c r="S27" s="1651">
        <f>F27</f>
        <v>100</v>
      </c>
      <c r="T27" s="1650" t="s">
        <v>25</v>
      </c>
      <c r="U27" s="1651">
        <f>H27</f>
        <v>100</v>
      </c>
      <c r="V27" s="1650" t="s">
        <v>25</v>
      </c>
      <c r="W27" s="1651">
        <f>J27</f>
        <v>100</v>
      </c>
      <c r="X27" s="1652"/>
      <c r="Y27" s="3656"/>
      <c r="Z27" s="1663" t="str">
        <f>Q27</f>
        <v>人流量</v>
      </c>
      <c r="AA27" s="2039">
        <f>D27/F27</f>
        <v>1</v>
      </c>
      <c r="AB27" s="2039">
        <f>D27/H27</f>
        <v>1</v>
      </c>
      <c r="AC27" s="2039">
        <f>D27/J27</f>
        <v>1</v>
      </c>
    </row>
    <row r="28" spans="1:29" ht="15">
      <c r="A28" s="1672"/>
      <c r="B28" s="1665" t="s">
        <v>2304</v>
      </c>
      <c r="C28" s="1961"/>
      <c r="D28" s="1681">
        <v>100</v>
      </c>
      <c r="E28" s="1961"/>
      <c r="F28" s="1724">
        <f>SUMIF(92:92,E28,93:93)-SUMIF(92:92,C28,93:93)+100</f>
        <v>100</v>
      </c>
      <c r="G28" s="1961"/>
      <c r="H28" s="1681">
        <f>SUMIF(92:92,G28,93:93)-SUMIF(92:92,C28,93:93)+100</f>
        <v>100</v>
      </c>
      <c r="I28" s="1961"/>
      <c r="J28" s="1681">
        <f>SUMIF(92:92,I28,93:93)-SUMIF(92:92,C28,93:93)+100</f>
        <v>100</v>
      </c>
      <c r="K28" s="1959"/>
      <c r="L28" s="2969"/>
      <c r="M28" s="2965"/>
      <c r="N28" s="2965"/>
      <c r="O28" s="2965"/>
      <c r="P28" s="3696"/>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656"/>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69"/>
      <c r="M29" s="2965"/>
      <c r="N29" s="2965"/>
      <c r="O29" s="2965"/>
      <c r="P29" s="3696"/>
      <c r="Q29" s="2041">
        <f t="shared" si="11"/>
        <v>111</v>
      </c>
      <c r="R29" s="1695" t="s">
        <v>25</v>
      </c>
      <c r="S29" s="1696">
        <f t="shared" si="12"/>
        <v>100</v>
      </c>
      <c r="T29" s="1695" t="s">
        <v>25</v>
      </c>
      <c r="U29" s="1696">
        <f t="shared" si="13"/>
        <v>100</v>
      </c>
      <c r="V29" s="1695" t="s">
        <v>25</v>
      </c>
      <c r="W29" s="1696">
        <f t="shared" si="14"/>
        <v>100</v>
      </c>
      <c r="X29" s="2044"/>
      <c r="Y29" s="3656"/>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69"/>
      <c r="M30" s="2965"/>
      <c r="N30" s="2965"/>
      <c r="O30" s="2965"/>
      <c r="P30" s="3696"/>
      <c r="Q30" s="2041">
        <f t="shared" si="11"/>
        <v>111</v>
      </c>
      <c r="R30" s="1695" t="s">
        <v>25</v>
      </c>
      <c r="S30" s="1696">
        <f t="shared" si="12"/>
        <v>100</v>
      </c>
      <c r="T30" s="1695" t="s">
        <v>25</v>
      </c>
      <c r="U30" s="1696">
        <f t="shared" si="13"/>
        <v>100</v>
      </c>
      <c r="V30" s="1695" t="s">
        <v>25</v>
      </c>
      <c r="W30" s="1696">
        <f t="shared" si="14"/>
        <v>100</v>
      </c>
      <c r="X30" s="2044"/>
      <c r="Y30" s="3656"/>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69"/>
      <c r="M31" s="2965"/>
      <c r="N31" s="2965"/>
      <c r="O31" s="2965"/>
      <c r="P31" s="3696"/>
      <c r="Q31" s="2041">
        <f t="shared" si="11"/>
        <v>111</v>
      </c>
      <c r="R31" s="1695" t="s">
        <v>25</v>
      </c>
      <c r="S31" s="1696">
        <f t="shared" si="12"/>
        <v>100</v>
      </c>
      <c r="T31" s="1695" t="s">
        <v>25</v>
      </c>
      <c r="U31" s="1696">
        <f t="shared" si="13"/>
        <v>100</v>
      </c>
      <c r="V31" s="1695" t="s">
        <v>25</v>
      </c>
      <c r="W31" s="1696">
        <f t="shared" si="14"/>
        <v>100</v>
      </c>
      <c r="X31" s="2044"/>
      <c r="Y31" s="3656"/>
      <c r="Z31" s="2048">
        <f t="shared" si="15"/>
        <v>111</v>
      </c>
      <c r="AA31" s="2039">
        <f t="shared" si="3"/>
        <v>1</v>
      </c>
      <c r="AB31" s="2039">
        <f t="shared" si="4"/>
        <v>1</v>
      </c>
      <c r="AC31" s="2039">
        <f t="shared" si="5"/>
        <v>1</v>
      </c>
    </row>
    <row r="32" spans="1:29" ht="15">
      <c r="A32" s="1687" t="s">
        <v>2217</v>
      </c>
      <c r="B32" s="1657" t="s">
        <v>2305</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69"/>
      <c r="M32" s="2965"/>
      <c r="N32" s="2965"/>
      <c r="O32" s="2965"/>
      <c r="P32" s="3691" t="s">
        <v>2219</v>
      </c>
      <c r="Q32" s="2041" t="str">
        <f t="shared" si="11"/>
        <v>商业类型</v>
      </c>
      <c r="R32" s="1695" t="s">
        <v>25</v>
      </c>
      <c r="S32" s="1696">
        <f t="shared" si="12"/>
        <v>100</v>
      </c>
      <c r="T32" s="1695" t="s">
        <v>25</v>
      </c>
      <c r="U32" s="1696">
        <f t="shared" si="13"/>
        <v>100</v>
      </c>
      <c r="V32" s="1695" t="s">
        <v>25</v>
      </c>
      <c r="W32" s="1696">
        <f t="shared" si="14"/>
        <v>100</v>
      </c>
      <c r="X32" s="2044"/>
      <c r="Y32" s="3658" t="s">
        <v>2219</v>
      </c>
      <c r="Z32" s="2048" t="str">
        <f t="shared" si="15"/>
        <v>商业类型</v>
      </c>
      <c r="AA32" s="2039">
        <f t="shared" si="3"/>
        <v>1</v>
      </c>
      <c r="AB32" s="2039">
        <f t="shared" si="4"/>
        <v>1</v>
      </c>
      <c r="AC32" s="2039">
        <f t="shared" si="5"/>
        <v>1</v>
      </c>
    </row>
    <row r="33" spans="1:29" s="1741" customFormat="1" ht="15">
      <c r="A33" s="1734"/>
      <c r="B33" s="1665" t="s">
        <v>2220</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68"/>
      <c r="M33" s="2029"/>
      <c r="N33" s="2029"/>
      <c r="O33" s="2029"/>
      <c r="P33" s="3692"/>
      <c r="Q33" s="1736" t="str">
        <f t="shared" si="11"/>
        <v>项目建筑规模</v>
      </c>
      <c r="R33" s="1737" t="s">
        <v>25</v>
      </c>
      <c r="S33" s="1738" t="e">
        <f t="shared" si="12"/>
        <v>#N/A</v>
      </c>
      <c r="T33" s="1737" t="s">
        <v>25</v>
      </c>
      <c r="U33" s="1738" t="e">
        <f t="shared" si="13"/>
        <v>#N/A</v>
      </c>
      <c r="V33" s="1737" t="s">
        <v>25</v>
      </c>
      <c r="W33" s="1738" t="e">
        <f t="shared" si="14"/>
        <v>#N/A</v>
      </c>
      <c r="X33" s="1739"/>
      <c r="Y33" s="3658"/>
      <c r="Z33" s="1740" t="str">
        <f t="shared" si="15"/>
        <v>项目建筑规模</v>
      </c>
      <c r="AA33" s="2039" t="e">
        <f t="shared" si="3"/>
        <v>#N/A</v>
      </c>
      <c r="AB33" s="2039" t="e">
        <f t="shared" si="4"/>
        <v>#N/A</v>
      </c>
      <c r="AC33" s="2039" t="e">
        <f t="shared" si="5"/>
        <v>#N/A</v>
      </c>
    </row>
    <row r="34" spans="1:29" ht="15">
      <c r="A34" s="1742"/>
      <c r="B34" s="1665" t="s">
        <v>2221</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69"/>
      <c r="M34" s="2965"/>
      <c r="N34" s="2965"/>
      <c r="O34" s="2965"/>
      <c r="P34" s="3692"/>
      <c r="Q34" s="2041" t="str">
        <f t="shared" si="11"/>
        <v>建筑结构</v>
      </c>
      <c r="R34" s="1695" t="s">
        <v>25</v>
      </c>
      <c r="S34" s="1696">
        <f t="shared" si="12"/>
        <v>100</v>
      </c>
      <c r="T34" s="1695" t="s">
        <v>25</v>
      </c>
      <c r="U34" s="1696">
        <f t="shared" si="13"/>
        <v>100</v>
      </c>
      <c r="V34" s="1695" t="s">
        <v>25</v>
      </c>
      <c r="W34" s="1696">
        <f t="shared" si="14"/>
        <v>100</v>
      </c>
      <c r="X34" s="2044"/>
      <c r="Y34" s="3658"/>
      <c r="Z34" s="2048" t="str">
        <f t="shared" si="15"/>
        <v>建筑结构</v>
      </c>
      <c r="AA34" s="2039">
        <f t="shared" si="3"/>
        <v>1</v>
      </c>
      <c r="AB34" s="2039">
        <f t="shared" si="4"/>
        <v>1</v>
      </c>
      <c r="AC34" s="2039">
        <f t="shared" si="5"/>
        <v>1</v>
      </c>
    </row>
    <row r="35" spans="1:29" ht="15">
      <c r="A35" s="1742"/>
      <c r="B35" s="1665" t="s">
        <v>2306</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69"/>
      <c r="M35" s="2965"/>
      <c r="N35" s="2965"/>
      <c r="O35" s="2965"/>
      <c r="P35" s="3692"/>
      <c r="Q35" s="2041" t="str">
        <f t="shared" si="11"/>
        <v>公共部分装修</v>
      </c>
      <c r="R35" s="1695" t="s">
        <v>25</v>
      </c>
      <c r="S35" s="1696">
        <f t="shared" si="12"/>
        <v>100</v>
      </c>
      <c r="T35" s="1695" t="s">
        <v>25</v>
      </c>
      <c r="U35" s="1696">
        <f t="shared" si="13"/>
        <v>100</v>
      </c>
      <c r="V35" s="1695" t="s">
        <v>25</v>
      </c>
      <c r="W35" s="1696">
        <f t="shared" si="14"/>
        <v>100</v>
      </c>
      <c r="X35" s="2044"/>
      <c r="Y35" s="3658"/>
      <c r="Z35" s="2048" t="str">
        <f t="shared" si="15"/>
        <v>公共部分装修</v>
      </c>
      <c r="AA35" s="2039">
        <f t="shared" si="3"/>
        <v>1</v>
      </c>
      <c r="AB35" s="2039">
        <f t="shared" si="4"/>
        <v>1</v>
      </c>
      <c r="AC35" s="2039">
        <f t="shared" si="5"/>
        <v>1</v>
      </c>
    </row>
    <row r="36" spans="1:29" ht="15">
      <c r="A36" s="1742"/>
      <c r="B36" s="1665" t="s">
        <v>2307</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69"/>
      <c r="M36" s="2965"/>
      <c r="N36" s="2965"/>
      <c r="O36" s="2965"/>
      <c r="P36" s="3692"/>
      <c r="Q36" s="2041" t="str">
        <f t="shared" si="11"/>
        <v>成新度</v>
      </c>
      <c r="R36" s="1695" t="s">
        <v>25</v>
      </c>
      <c r="S36" s="1696" t="e">
        <f t="shared" si="12"/>
        <v>#N/A</v>
      </c>
      <c r="T36" s="1695" t="s">
        <v>25</v>
      </c>
      <c r="U36" s="1696" t="e">
        <f t="shared" si="13"/>
        <v>#N/A</v>
      </c>
      <c r="V36" s="1695" t="s">
        <v>25</v>
      </c>
      <c r="W36" s="1696" t="e">
        <f t="shared" si="14"/>
        <v>#N/A</v>
      </c>
      <c r="X36" s="2044"/>
      <c r="Y36" s="3658"/>
      <c r="Z36" s="2048" t="str">
        <f t="shared" si="15"/>
        <v>成新度</v>
      </c>
      <c r="AA36" s="2039" t="e">
        <f t="shared" si="3"/>
        <v>#N/A</v>
      </c>
      <c r="AB36" s="2039" t="e">
        <f t="shared" si="4"/>
        <v>#N/A</v>
      </c>
      <c r="AC36" s="2039" t="e">
        <f t="shared" si="5"/>
        <v>#N/A</v>
      </c>
    </row>
    <row r="37" spans="1:29" s="1654" customFormat="1" ht="15">
      <c r="A37" s="1745"/>
      <c r="B37" s="1665" t="s">
        <v>2308</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64"/>
      <c r="M37" s="2937"/>
      <c r="N37" s="2937"/>
      <c r="O37" s="2937"/>
      <c r="P37" s="3692"/>
      <c r="Q37" s="2035" t="str">
        <f t="shared" si="11"/>
        <v>市政基础设施</v>
      </c>
      <c r="R37" s="1650" t="s">
        <v>25</v>
      </c>
      <c r="S37" s="1651">
        <f t="shared" si="12"/>
        <v>100</v>
      </c>
      <c r="T37" s="1650" t="s">
        <v>25</v>
      </c>
      <c r="U37" s="1651">
        <f t="shared" si="13"/>
        <v>100</v>
      </c>
      <c r="V37" s="1650" t="s">
        <v>25</v>
      </c>
      <c r="W37" s="1651">
        <f t="shared" si="14"/>
        <v>100</v>
      </c>
      <c r="X37" s="1652"/>
      <c r="Y37" s="3658"/>
      <c r="Z37" s="1663" t="str">
        <f t="shared" si="15"/>
        <v>市政基础设施</v>
      </c>
      <c r="AA37" s="1653">
        <f t="shared" si="3"/>
        <v>1</v>
      </c>
      <c r="AB37" s="1653">
        <f t="shared" si="4"/>
        <v>1</v>
      </c>
      <c r="AC37" s="1653">
        <f t="shared" si="5"/>
        <v>1</v>
      </c>
    </row>
    <row r="38" spans="1:29" ht="15">
      <c r="A38" s="1742"/>
      <c r="B38" s="1665" t="s">
        <v>2309</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69"/>
      <c r="M38" s="2965"/>
      <c r="N38" s="2965"/>
      <c r="O38" s="2965"/>
      <c r="P38" s="3692" t="s">
        <v>2219</v>
      </c>
      <c r="Q38" s="2041" t="str">
        <f t="shared" si="11"/>
        <v>业态</v>
      </c>
      <c r="R38" s="1695" t="s">
        <v>25</v>
      </c>
      <c r="S38" s="1696">
        <f t="shared" si="12"/>
        <v>100</v>
      </c>
      <c r="T38" s="1695" t="s">
        <v>25</v>
      </c>
      <c r="U38" s="1696">
        <f t="shared" si="13"/>
        <v>100</v>
      </c>
      <c r="V38" s="1695" t="s">
        <v>25</v>
      </c>
      <c r="W38" s="1696">
        <f t="shared" si="14"/>
        <v>100</v>
      </c>
      <c r="X38" s="2044"/>
      <c r="Y38" s="3658" t="s">
        <v>2219</v>
      </c>
      <c r="Z38" s="2048" t="str">
        <f t="shared" si="15"/>
        <v>业态</v>
      </c>
      <c r="AA38" s="2039">
        <f t="shared" si="3"/>
        <v>1</v>
      </c>
      <c r="AB38" s="2039">
        <f t="shared" si="4"/>
        <v>1</v>
      </c>
      <c r="AC38" s="2039">
        <f t="shared" si="5"/>
        <v>1</v>
      </c>
    </row>
    <row r="39" spans="1:29" ht="15">
      <c r="A39" s="1742"/>
      <c r="B39" s="1665" t="s">
        <v>2310</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69"/>
      <c r="M39" s="2965"/>
      <c r="N39" s="2965"/>
      <c r="O39" s="2965"/>
      <c r="P39" s="3692"/>
      <c r="Q39" s="2041" t="str">
        <f t="shared" si="11"/>
        <v>层高</v>
      </c>
      <c r="R39" s="1695" t="s">
        <v>25</v>
      </c>
      <c r="S39" s="1696">
        <f t="shared" si="12"/>
        <v>100</v>
      </c>
      <c r="T39" s="1695" t="s">
        <v>25</v>
      </c>
      <c r="U39" s="1696">
        <f t="shared" si="13"/>
        <v>100</v>
      </c>
      <c r="V39" s="1695" t="s">
        <v>25</v>
      </c>
      <c r="W39" s="1696">
        <f t="shared" si="14"/>
        <v>100</v>
      </c>
      <c r="X39" s="2044"/>
      <c r="Y39" s="3658"/>
      <c r="Z39" s="2048" t="str">
        <f t="shared" si="15"/>
        <v>层高</v>
      </c>
      <c r="AA39" s="2039">
        <f t="shared" si="3"/>
        <v>1</v>
      </c>
      <c r="AB39" s="2039">
        <f t="shared" si="4"/>
        <v>1</v>
      </c>
      <c r="AC39" s="2039">
        <f t="shared" si="5"/>
        <v>1</v>
      </c>
    </row>
    <row r="40" spans="1:29" ht="15">
      <c r="A40" s="1742"/>
      <c r="B40" s="1665" t="s">
        <v>2311</v>
      </c>
      <c r="C40" s="2447"/>
      <c r="D40" s="1681">
        <v>100</v>
      </c>
      <c r="E40" s="2448"/>
      <c r="F40" s="1724">
        <f>SUMIF(118:118,E40,119:119)-SUMIF(118:118,C40,119:119)+100</f>
        <v>100</v>
      </c>
      <c r="G40" s="2448"/>
      <c r="H40" s="1681">
        <f>SUMIF(118:118,G40,119:119)-SUMIF(118:118,C40,119:119)+100</f>
        <v>100</v>
      </c>
      <c r="I40" s="2448"/>
      <c r="J40" s="1681">
        <f>SUMIF(118:118,I40,119:119)-SUMIF(118:118,C40,119:119)+100</f>
        <v>100</v>
      </c>
      <c r="K40" s="1959"/>
      <c r="L40" s="2969"/>
      <c r="M40" s="2965"/>
      <c r="N40" s="2965"/>
      <c r="O40" s="2965"/>
      <c r="P40" s="3692"/>
      <c r="Q40" s="2041" t="str">
        <f t="shared" si="11"/>
        <v>单套建筑面积</v>
      </c>
      <c r="R40" s="1695" t="s">
        <v>25</v>
      </c>
      <c r="S40" s="1696">
        <f t="shared" si="12"/>
        <v>100</v>
      </c>
      <c r="T40" s="1695" t="s">
        <v>25</v>
      </c>
      <c r="U40" s="1696">
        <f t="shared" si="13"/>
        <v>100</v>
      </c>
      <c r="V40" s="1695" t="s">
        <v>25</v>
      </c>
      <c r="W40" s="1696">
        <f t="shared" si="14"/>
        <v>100</v>
      </c>
      <c r="X40" s="2044"/>
      <c r="Y40" s="3658"/>
      <c r="Z40" s="2048" t="str">
        <f t="shared" si="15"/>
        <v>单套建筑面积</v>
      </c>
      <c r="AA40" s="2039">
        <f t="shared" si="3"/>
        <v>1</v>
      </c>
      <c r="AB40" s="2039">
        <f t="shared" si="4"/>
        <v>1</v>
      </c>
      <c r="AC40" s="2039">
        <f t="shared" si="5"/>
        <v>1</v>
      </c>
    </row>
    <row r="41" spans="1:29" s="1741" customFormat="1" ht="15">
      <c r="A41" s="1734"/>
      <c r="B41" s="2040" t="s">
        <v>2312</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68"/>
      <c r="M41" s="2029"/>
      <c r="N41" s="2029"/>
      <c r="O41" s="2029"/>
      <c r="P41" s="3692"/>
      <c r="Q41" s="1736" t="str">
        <f t="shared" si="11"/>
        <v>进深比</v>
      </c>
      <c r="R41" s="1737" t="s">
        <v>25</v>
      </c>
      <c r="S41" s="1738">
        <f t="shared" si="12"/>
        <v>100</v>
      </c>
      <c r="T41" s="1737" t="s">
        <v>25</v>
      </c>
      <c r="U41" s="1738">
        <f t="shared" si="13"/>
        <v>100</v>
      </c>
      <c r="V41" s="1737" t="s">
        <v>25</v>
      </c>
      <c r="W41" s="1738">
        <f t="shared" si="14"/>
        <v>100</v>
      </c>
      <c r="X41" s="1739"/>
      <c r="Y41" s="3658"/>
      <c r="Z41" s="1740" t="str">
        <f t="shared" si="15"/>
        <v>进深比</v>
      </c>
      <c r="AA41" s="2039">
        <f t="shared" si="3"/>
        <v>1</v>
      </c>
      <c r="AB41" s="2039">
        <f t="shared" si="4"/>
        <v>1</v>
      </c>
      <c r="AC41" s="2039">
        <f t="shared" si="5"/>
        <v>1</v>
      </c>
    </row>
    <row r="42" spans="1:29" ht="15">
      <c r="A42" s="1742"/>
      <c r="B42" s="1665" t="s">
        <v>2313</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69"/>
      <c r="M42" s="2965"/>
      <c r="N42" s="2965"/>
      <c r="O42" s="2965"/>
      <c r="P42" s="3692"/>
      <c r="Q42" s="2041" t="str">
        <f t="shared" si="11"/>
        <v>内部装修</v>
      </c>
      <c r="R42" s="1695" t="s">
        <v>25</v>
      </c>
      <c r="S42" s="1696">
        <f t="shared" si="12"/>
        <v>100</v>
      </c>
      <c r="T42" s="1695" t="s">
        <v>25</v>
      </c>
      <c r="U42" s="1696">
        <f t="shared" si="13"/>
        <v>100</v>
      </c>
      <c r="V42" s="1695" t="s">
        <v>25</v>
      </c>
      <c r="W42" s="1696">
        <f t="shared" si="14"/>
        <v>100</v>
      </c>
      <c r="X42" s="2044"/>
      <c r="Y42" s="3658"/>
      <c r="Z42" s="2048" t="str">
        <f t="shared" si="15"/>
        <v>内部装修</v>
      </c>
      <c r="AA42" s="2039">
        <f t="shared" si="3"/>
        <v>1</v>
      </c>
      <c r="AB42" s="2039">
        <f t="shared" si="4"/>
        <v>1</v>
      </c>
      <c r="AC42" s="2039">
        <f t="shared" si="5"/>
        <v>1</v>
      </c>
    </row>
    <row r="43" spans="1:29" ht="15">
      <c r="A43" s="1742"/>
      <c r="B43" s="1665" t="s">
        <v>2230</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69"/>
      <c r="M43" s="2965"/>
      <c r="N43" s="2965"/>
      <c r="O43" s="2965"/>
      <c r="P43" s="3692"/>
      <c r="Q43" s="2041" t="str">
        <f t="shared" si="11"/>
        <v>内部装修维护情况</v>
      </c>
      <c r="R43" s="1695" t="s">
        <v>25</v>
      </c>
      <c r="S43" s="1696">
        <f t="shared" si="12"/>
        <v>100</v>
      </c>
      <c r="T43" s="1695" t="s">
        <v>25</v>
      </c>
      <c r="U43" s="1696">
        <f t="shared" si="13"/>
        <v>100</v>
      </c>
      <c r="V43" s="1695" t="s">
        <v>25</v>
      </c>
      <c r="W43" s="1696">
        <f t="shared" si="14"/>
        <v>100</v>
      </c>
      <c r="X43" s="2044"/>
      <c r="Y43" s="3658"/>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64"/>
      <c r="M44" s="2937"/>
      <c r="N44" s="2937"/>
      <c r="O44" s="2937"/>
      <c r="P44" s="3692"/>
      <c r="Q44" s="2035">
        <f t="shared" si="11"/>
        <v>111</v>
      </c>
      <c r="R44" s="1650" t="s">
        <v>25</v>
      </c>
      <c r="S44" s="1651">
        <f t="shared" si="12"/>
        <v>100</v>
      </c>
      <c r="T44" s="1650" t="s">
        <v>25</v>
      </c>
      <c r="U44" s="1651">
        <f t="shared" si="13"/>
        <v>100</v>
      </c>
      <c r="V44" s="1650" t="s">
        <v>25</v>
      </c>
      <c r="W44" s="1651">
        <f t="shared" si="14"/>
        <v>100</v>
      </c>
      <c r="X44" s="1652"/>
      <c r="Y44" s="3658"/>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69"/>
      <c r="M45" s="2965"/>
      <c r="N45" s="2965"/>
      <c r="O45" s="2965"/>
      <c r="P45" s="3692"/>
      <c r="Q45" s="2041">
        <f t="shared" si="11"/>
        <v>111</v>
      </c>
      <c r="R45" s="1695" t="s">
        <v>25</v>
      </c>
      <c r="S45" s="1696">
        <f t="shared" si="12"/>
        <v>100</v>
      </c>
      <c r="T45" s="1695" t="s">
        <v>25</v>
      </c>
      <c r="U45" s="1696">
        <f t="shared" si="13"/>
        <v>100</v>
      </c>
      <c r="V45" s="1695" t="s">
        <v>25</v>
      </c>
      <c r="W45" s="1696">
        <f t="shared" si="14"/>
        <v>100</v>
      </c>
      <c r="X45" s="2044"/>
      <c r="Y45" s="3658"/>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69"/>
      <c r="M46" s="2965"/>
      <c r="N46" s="2965"/>
      <c r="O46" s="2965"/>
      <c r="P46" s="3693"/>
      <c r="Q46" s="2041">
        <f t="shared" si="11"/>
        <v>111</v>
      </c>
      <c r="R46" s="1695" t="s">
        <v>25</v>
      </c>
      <c r="S46" s="1696">
        <f t="shared" si="12"/>
        <v>100</v>
      </c>
      <c r="T46" s="1695" t="s">
        <v>25</v>
      </c>
      <c r="U46" s="1696">
        <f t="shared" si="13"/>
        <v>100</v>
      </c>
      <c r="V46" s="1695" t="s">
        <v>25</v>
      </c>
      <c r="W46" s="1696">
        <f t="shared" si="14"/>
        <v>100</v>
      </c>
      <c r="X46" s="2044"/>
      <c r="Y46" s="3659"/>
      <c r="Z46" s="2048">
        <f t="shared" si="15"/>
        <v>111</v>
      </c>
      <c r="AA46" s="2039">
        <f t="shared" si="3"/>
        <v>1</v>
      </c>
      <c r="AB46" s="2039">
        <f t="shared" si="4"/>
        <v>1</v>
      </c>
      <c r="AC46" s="2039">
        <f t="shared" si="5"/>
        <v>1</v>
      </c>
    </row>
    <row r="47" spans="1:29" ht="15">
      <c r="A47" s="1751" t="s">
        <v>2231</v>
      </c>
      <c r="B47" s="1752"/>
      <c r="C47" s="1753" t="s">
        <v>1</v>
      </c>
      <c r="D47" s="1754"/>
      <c r="E47" s="1755"/>
      <c r="F47" s="1756"/>
      <c r="G47" s="1757"/>
      <c r="H47" s="1758"/>
      <c r="I47" s="1755"/>
      <c r="J47" s="1758"/>
      <c r="K47" s="1983"/>
      <c r="L47" s="2970"/>
      <c r="N47" s="2965"/>
      <c r="P47" s="3627" t="str">
        <f>A47</f>
        <v>成交单价（元/平方米）</v>
      </c>
      <c r="Q47" s="3627"/>
      <c r="R47" s="3660">
        <f>E47</f>
        <v>0</v>
      </c>
      <c r="S47" s="3660"/>
      <c r="T47" s="3660">
        <f>G47</f>
        <v>0</v>
      </c>
      <c r="U47" s="3660"/>
      <c r="V47" s="3660">
        <f>I47</f>
        <v>0</v>
      </c>
      <c r="W47" s="3660"/>
      <c r="X47" s="1761"/>
      <c r="Y47" s="2043"/>
      <c r="Z47" s="1761"/>
      <c r="AA47" s="1761"/>
      <c r="AB47" s="1761"/>
      <c r="AC47" s="1761"/>
    </row>
    <row r="48" spans="1:29" ht="15.75" thickBot="1">
      <c r="A48" s="1763" t="s">
        <v>2314</v>
      </c>
      <c r="B48" s="1764"/>
      <c r="C48" s="1765" t="e">
        <f>R49</f>
        <v>#DIV/0!</v>
      </c>
      <c r="D48" s="1766" t="s">
        <v>2688</v>
      </c>
      <c r="E48" s="1767" t="e">
        <f>R48</f>
        <v>#DIV/0!</v>
      </c>
      <c r="F48" s="1768"/>
      <c r="G48" s="1765" t="e">
        <f>T48</f>
        <v>#DIV/0!</v>
      </c>
      <c r="H48" s="1768"/>
      <c r="I48" s="1767" t="e">
        <f>V48</f>
        <v>#DIV/0!</v>
      </c>
      <c r="J48" s="1768"/>
      <c r="K48" s="2480">
        <f>F48+H48+J48</f>
        <v>0</v>
      </c>
      <c r="L48" s="2970"/>
      <c r="N48" s="2965"/>
      <c r="P48" s="3627" t="str">
        <f>A48</f>
        <v>比较价值（元/平方米）</v>
      </c>
      <c r="Q48" s="3627"/>
      <c r="R48" s="3660" t="e">
        <f>IF(E1="售价",ROUND(PRODUCT(R47,AA7:AA46),0),ROUND(PRODUCT(R47,AA7:AA46),1))</f>
        <v>#DIV/0!</v>
      </c>
      <c r="S48" s="3660"/>
      <c r="T48" s="3660" t="e">
        <f>IF(E1="售价",ROUND(PRODUCT(T47,AB7:AB46),0),ROUND(PRODUCT(T47,AB7:AB46),1))</f>
        <v>#DIV/0!</v>
      </c>
      <c r="U48" s="3660"/>
      <c r="V48" s="3660" t="e">
        <f>IF(E1="售价",ROUND(PRODUCT(V47,AC7:AC46),0),ROUND(PRODUCT(V47,AC7:AC46),1))</f>
        <v>#DIV/0!</v>
      </c>
      <c r="W48" s="3660"/>
      <c r="X48" s="1761"/>
      <c r="Y48" s="1761"/>
      <c r="Z48" s="1761"/>
      <c r="AA48" s="1761"/>
      <c r="AB48" s="1761"/>
      <c r="AC48" s="1761"/>
    </row>
    <row r="49" spans="1:29" ht="15.75" thickBot="1">
      <c r="A49" s="1769" t="s">
        <v>2315</v>
      </c>
      <c r="B49" s="1770"/>
      <c r="C49" s="1772" t="e">
        <f>R49</f>
        <v>#DIV/0!</v>
      </c>
      <c r="D49" s="1772"/>
      <c r="E49" s="1772"/>
      <c r="F49" s="1772"/>
      <c r="G49" s="1772"/>
      <c r="H49" s="1772"/>
      <c r="I49" s="1772"/>
      <c r="J49" s="1772"/>
      <c r="K49" s="1988"/>
      <c r="L49" s="2970"/>
      <c r="N49" s="2965"/>
      <c r="P49" s="3661" t="str">
        <f>A49</f>
        <v>估价对象XX用房的比较价值（楼面单价，元/平方米）</v>
      </c>
      <c r="Q49" s="3662"/>
      <c r="R49" s="3663" t="e">
        <f>IF(E1="售价",ROUND(IF(D48="简单平均",AVERAGE(R48:V48),R48*F48+T48*H48+V48*J48),0),ROUND(IF(D48="简单平均",AVERAGE(R48:V48),R48*F48+T48*H48+V48*J48),1))</f>
        <v>#DIV/0!</v>
      </c>
      <c r="S49" s="3663"/>
      <c r="T49" s="3663"/>
      <c r="U49" s="3663"/>
      <c r="V49" s="3663"/>
      <c r="W49" s="3663"/>
      <c r="X49" s="1761"/>
      <c r="Y49" s="1761"/>
      <c r="Z49" s="1761"/>
      <c r="AA49" s="1761"/>
      <c r="AB49" s="1761"/>
      <c r="AC49" s="1761"/>
    </row>
    <row r="50" spans="1:29">
      <c r="G50" s="2974"/>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2316</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2317</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2318</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7"/>
      <c r="L54" s="2971"/>
      <c r="P54" s="2450"/>
      <c r="Q54" s="1781"/>
      <c r="R54" s="1781"/>
      <c r="S54" s="1781"/>
      <c r="T54" s="1781"/>
      <c r="U54" s="1781"/>
      <c r="V54" s="1781"/>
      <c r="W54" s="1781"/>
      <c r="X54" s="1781"/>
      <c r="Y54" s="1781"/>
      <c r="Z54" s="1781"/>
      <c r="AA54" s="1781"/>
      <c r="AB54" s="1781"/>
      <c r="AC54" s="1781"/>
    </row>
    <row r="55" spans="1:29" s="1783" customFormat="1">
      <c r="B55" s="2975"/>
      <c r="C55" s="2976"/>
      <c r="K55" s="2977"/>
      <c r="L55" s="2971"/>
      <c r="P55" s="2450"/>
      <c r="Q55" s="1781"/>
      <c r="R55" s="1781"/>
      <c r="S55" s="1781"/>
      <c r="T55" s="1781"/>
      <c r="U55" s="1781"/>
      <c r="V55" s="1781"/>
      <c r="W55" s="1781"/>
      <c r="X55" s="1781"/>
      <c r="Y55" s="1781"/>
      <c r="Z55" s="1781"/>
      <c r="AA55" s="1781"/>
      <c r="AB55" s="1781"/>
      <c r="AC55" s="1781"/>
    </row>
    <row r="56" spans="1:29">
      <c r="B56" s="2975"/>
      <c r="C56" s="2976"/>
      <c r="P56" s="2449"/>
      <c r="Q56" s="1760"/>
      <c r="R56" s="1760"/>
      <c r="S56" s="1760"/>
      <c r="T56" s="1760"/>
      <c r="U56" s="1760"/>
      <c r="V56" s="1760"/>
      <c r="W56" s="1760"/>
      <c r="X56" s="1760"/>
      <c r="Y56" s="1760"/>
      <c r="Z56" s="1760"/>
      <c r="AA56" s="1760"/>
      <c r="AB56" s="1760"/>
      <c r="AC56" s="1760"/>
    </row>
    <row r="57" spans="1:29" ht="21.75" thickBot="1">
      <c r="A57" s="1786" t="s">
        <v>2319</v>
      </c>
      <c r="B57" s="1761"/>
      <c r="C57" s="1787"/>
      <c r="D57" s="1787"/>
      <c r="E57" s="1787"/>
      <c r="F57" s="1787"/>
      <c r="G57" s="1787"/>
      <c r="H57" s="1787"/>
      <c r="I57" s="1787"/>
      <c r="J57" s="1787"/>
      <c r="K57" s="1788"/>
      <c r="L57" s="2014"/>
      <c r="M57" s="2012"/>
      <c r="N57" s="2973"/>
      <c r="O57" s="2973"/>
      <c r="P57" s="2451"/>
      <c r="Q57" s="2452"/>
      <c r="R57" s="1760"/>
      <c r="S57" s="1760"/>
      <c r="T57" s="1760"/>
      <c r="U57" s="1760"/>
      <c r="V57" s="1760"/>
      <c r="W57" s="1760"/>
      <c r="X57" s="1760"/>
      <c r="Y57" s="1760"/>
      <c r="Z57" s="1760"/>
      <c r="AA57" s="1760"/>
      <c r="AB57" s="1760"/>
      <c r="AC57" s="1760"/>
    </row>
    <row r="58" spans="1:29" s="1797" customFormat="1" ht="15">
      <c r="A58" s="1792" t="s">
        <v>2201</v>
      </c>
      <c r="B58" s="1793"/>
      <c r="C58" s="1794" t="str">
        <f>YEAR(C7)&amp;"-"&amp;MONTH(C7)</f>
        <v>2021-12</v>
      </c>
      <c r="D58" s="1795">
        <f>EDATE(C58,-1)</f>
        <v>44501</v>
      </c>
      <c r="E58" s="1795">
        <f t="shared" ref="E58:O58" si="16">EDATE(D58,-1)</f>
        <v>44470</v>
      </c>
      <c r="F58" s="1795">
        <f t="shared" si="16"/>
        <v>44440</v>
      </c>
      <c r="G58" s="1795">
        <f t="shared" si="16"/>
        <v>44409</v>
      </c>
      <c r="H58" s="1795">
        <f t="shared" si="16"/>
        <v>44378</v>
      </c>
      <c r="I58" s="1795">
        <f t="shared" si="16"/>
        <v>44348</v>
      </c>
      <c r="J58" s="1795">
        <f t="shared" si="16"/>
        <v>44317</v>
      </c>
      <c r="K58" s="1795">
        <f t="shared" si="16"/>
        <v>44287</v>
      </c>
      <c r="L58" s="1795">
        <f t="shared" si="16"/>
        <v>44256</v>
      </c>
      <c r="M58" s="1795">
        <f t="shared" si="16"/>
        <v>44228</v>
      </c>
      <c r="N58" s="1795">
        <f t="shared" si="16"/>
        <v>44197</v>
      </c>
      <c r="O58" s="1795">
        <f t="shared" si="16"/>
        <v>44166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2239</v>
      </c>
      <c r="B60" s="1805"/>
      <c r="C60" s="1806"/>
      <c r="D60" s="1807"/>
      <c r="E60" s="1807"/>
      <c r="F60" s="1807"/>
      <c r="G60" s="1807"/>
      <c r="H60" s="1807"/>
      <c r="I60" s="1807"/>
      <c r="J60" s="1807"/>
      <c r="K60" s="1807"/>
      <c r="L60" s="1807"/>
      <c r="M60" s="1808"/>
      <c r="N60" s="1807"/>
      <c r="O60" s="1808"/>
      <c r="P60" s="1803"/>
      <c r="Q60" s="1791"/>
    </row>
    <row r="61" spans="1:29" s="1654" customFormat="1" ht="15">
      <c r="A61" s="1809" t="s">
        <v>2203</v>
      </c>
      <c r="B61" s="1799"/>
      <c r="C61" s="1810" t="s">
        <v>2204</v>
      </c>
      <c r="D61" s="409"/>
      <c r="E61" s="409"/>
      <c r="F61" s="409"/>
      <c r="G61" s="409"/>
      <c r="H61" s="409"/>
      <c r="I61" s="409"/>
      <c r="J61" s="409"/>
      <c r="K61" s="409"/>
      <c r="L61" s="409"/>
      <c r="M61" s="1811"/>
      <c r="N61" s="2982"/>
      <c r="O61" s="2982"/>
      <c r="P61" s="1813"/>
      <c r="Q61" s="1791"/>
    </row>
    <row r="62" spans="1:29" s="1654" customFormat="1" ht="15.75" thickBot="1">
      <c r="A62" s="1809"/>
      <c r="B62" s="1799"/>
      <c r="C62" s="1814">
        <v>100</v>
      </c>
      <c r="D62" s="1801"/>
      <c r="E62" s="1801"/>
      <c r="F62" s="1801"/>
      <c r="G62" s="1801"/>
      <c r="H62" s="1801"/>
      <c r="I62" s="1801"/>
      <c r="J62" s="1801"/>
      <c r="K62" s="1801"/>
      <c r="L62" s="1801"/>
      <c r="M62" s="1815"/>
      <c r="N62" s="2982"/>
      <c r="O62" s="2982"/>
      <c r="P62" s="1803"/>
      <c r="Q62" s="1791"/>
    </row>
    <row r="63" spans="1:29">
      <c r="A63" s="1816" t="s">
        <v>2242</v>
      </c>
      <c r="B63" s="1817" t="s">
        <v>2207</v>
      </c>
      <c r="C63" s="1818">
        <f>C9</f>
        <v>0</v>
      </c>
      <c r="D63" s="1819"/>
      <c r="E63" s="1819"/>
      <c r="F63" s="1819"/>
      <c r="G63" s="1819"/>
      <c r="H63" s="1819"/>
      <c r="I63" s="1819"/>
      <c r="J63" s="1819"/>
      <c r="K63" s="417"/>
      <c r="L63" s="417"/>
      <c r="M63" s="1820"/>
      <c r="N63" s="2983"/>
      <c r="O63" s="2983"/>
      <c r="P63" s="1822"/>
      <c r="Q63" s="1791"/>
    </row>
    <row r="64" spans="1:29" ht="15.75" thickBot="1">
      <c r="A64" s="1823"/>
      <c r="B64" s="1824"/>
      <c r="C64" s="1825">
        <v>100</v>
      </c>
      <c r="D64" s="1825"/>
      <c r="E64" s="1825"/>
      <c r="F64" s="1825"/>
      <c r="G64" s="1825"/>
      <c r="H64" s="1825"/>
      <c r="I64" s="1825"/>
      <c r="J64" s="1825"/>
      <c r="K64" s="1825"/>
      <c r="L64" s="1825"/>
      <c r="M64" s="1826"/>
      <c r="N64" s="2984"/>
      <c r="O64" s="2984"/>
      <c r="P64" s="1822"/>
      <c r="Q64" s="1791"/>
    </row>
    <row r="65" spans="1:17" ht="27.75" thickTop="1">
      <c r="A65" s="1823"/>
      <c r="B65" s="1828" t="s">
        <v>2210</v>
      </c>
      <c r="C65" s="1829" t="s">
        <v>2243</v>
      </c>
      <c r="D65" s="1829" t="s">
        <v>2244</v>
      </c>
      <c r="E65" s="1829" t="s">
        <v>2245</v>
      </c>
      <c r="F65" s="1829" t="s">
        <v>2246</v>
      </c>
      <c r="G65" s="1829" t="s">
        <v>2247</v>
      </c>
      <c r="H65" s="1829" t="s">
        <v>2248</v>
      </c>
      <c r="I65" s="1829" t="s">
        <v>2249</v>
      </c>
      <c r="J65" s="1829"/>
      <c r="K65" s="428"/>
      <c r="L65" s="428"/>
      <c r="M65" s="1830"/>
      <c r="N65" s="2983"/>
      <c r="O65" s="2983"/>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4"/>
      <c r="O66" s="2984"/>
      <c r="P66" s="1822"/>
      <c r="Q66" s="1791"/>
    </row>
    <row r="67" spans="1:17" ht="15.75" thickTop="1">
      <c r="A67" s="1823"/>
      <c r="B67" s="1834" t="s">
        <v>2211</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84"/>
      <c r="O67" s="2984"/>
      <c r="P67" s="1822"/>
      <c r="Q67" s="1791"/>
    </row>
    <row r="68" spans="1:17" ht="15">
      <c r="A68" s="1823"/>
      <c r="B68" s="1836"/>
      <c r="C68" s="1837"/>
      <c r="D68" s="1837"/>
      <c r="E68" s="1837"/>
      <c r="F68" s="1837"/>
      <c r="G68" s="1837"/>
      <c r="H68" s="1837"/>
      <c r="I68" s="1837"/>
      <c r="J68" s="1837"/>
      <c r="K68" s="438"/>
      <c r="L68" s="438"/>
      <c r="M68" s="1838"/>
      <c r="N68" s="2983"/>
      <c r="O68" s="2983"/>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4"/>
      <c r="O69" s="2984"/>
      <c r="P69" s="1822"/>
      <c r="Q69" s="1791"/>
    </row>
    <row r="70" spans="1:17" s="1741" customFormat="1" ht="15.75" thickTop="1">
      <c r="A70" s="1839"/>
      <c r="B70" s="1828">
        <f>B12</f>
        <v>111</v>
      </c>
      <c r="C70" s="468"/>
      <c r="D70" s="468"/>
      <c r="E70" s="468"/>
      <c r="F70" s="468"/>
      <c r="G70" s="468"/>
      <c r="H70" s="443"/>
      <c r="I70" s="443"/>
      <c r="J70" s="443"/>
      <c r="K70" s="443"/>
      <c r="L70" s="443"/>
      <c r="M70" s="1840"/>
      <c r="N70" s="2985"/>
      <c r="O70" s="2985"/>
      <c r="P70" s="1842"/>
      <c r="Q70" s="1843"/>
    </row>
    <row r="71" spans="1:17" s="1741" customFormat="1" ht="15.75" thickBot="1">
      <c r="A71" s="1839"/>
      <c r="B71" s="1831"/>
      <c r="C71" s="1844"/>
      <c r="D71" s="1825"/>
      <c r="E71" s="1825"/>
      <c r="F71" s="1825"/>
      <c r="G71" s="1825"/>
      <c r="H71" s="1825"/>
      <c r="I71" s="1825"/>
      <c r="J71" s="1825"/>
      <c r="K71" s="1825"/>
      <c r="L71" s="1825"/>
      <c r="M71" s="1826"/>
      <c r="N71" s="2984"/>
      <c r="O71" s="2984"/>
      <c r="P71" s="1842"/>
      <c r="Q71" s="1843"/>
    </row>
    <row r="72" spans="1:17" s="1741" customFormat="1" ht="15.75" thickTop="1">
      <c r="A72" s="1839"/>
      <c r="B72" s="1828">
        <f>B13</f>
        <v>111</v>
      </c>
      <c r="C72" s="468"/>
      <c r="D72" s="468"/>
      <c r="E72" s="468"/>
      <c r="F72" s="468"/>
      <c r="G72" s="468"/>
      <c r="H72" s="443"/>
      <c r="I72" s="443"/>
      <c r="J72" s="443"/>
      <c r="K72" s="443"/>
      <c r="L72" s="443"/>
      <c r="M72" s="1840"/>
      <c r="N72" s="2985"/>
      <c r="O72" s="2985"/>
      <c r="P72" s="1845"/>
      <c r="Q72" s="1846"/>
    </row>
    <row r="73" spans="1:17" s="1741" customFormat="1" ht="15.75" thickBot="1">
      <c r="A73" s="1839"/>
      <c r="B73" s="1831"/>
      <c r="C73" s="1844"/>
      <c r="D73" s="1825"/>
      <c r="E73" s="1825"/>
      <c r="F73" s="1825"/>
      <c r="G73" s="1844"/>
      <c r="H73" s="1847"/>
      <c r="I73" s="1847"/>
      <c r="J73" s="1847"/>
      <c r="K73" s="1847"/>
      <c r="L73" s="1847"/>
      <c r="M73" s="1848"/>
      <c r="N73" s="2985"/>
      <c r="O73" s="2985"/>
      <c r="P73" s="1842"/>
      <c r="Q73" s="1843"/>
    </row>
    <row r="74" spans="1:17" s="1741" customFormat="1" ht="15.75" thickTop="1">
      <c r="A74" s="1839"/>
      <c r="B74" s="1834">
        <f>B14</f>
        <v>111</v>
      </c>
      <c r="C74" s="468"/>
      <c r="D74" s="468"/>
      <c r="E74" s="468"/>
      <c r="F74" s="468"/>
      <c r="G74" s="409"/>
      <c r="H74" s="453"/>
      <c r="I74" s="453"/>
      <c r="J74" s="453"/>
      <c r="K74" s="453"/>
      <c r="L74" s="453"/>
      <c r="M74" s="1849"/>
      <c r="N74" s="2985"/>
      <c r="O74" s="2985"/>
      <c r="P74" s="1842"/>
      <c r="Q74" s="1843"/>
    </row>
    <row r="75" spans="1:17" s="1741" customFormat="1" ht="15.75" thickBot="1">
      <c r="A75" s="1850"/>
      <c r="B75" s="1851"/>
      <c r="C75" s="1852"/>
      <c r="D75" s="1852"/>
      <c r="E75" s="1852"/>
      <c r="F75" s="1852"/>
      <c r="G75" s="1852"/>
      <c r="H75" s="1853"/>
      <c r="I75" s="1853"/>
      <c r="J75" s="1853"/>
      <c r="K75" s="1853"/>
      <c r="L75" s="1853"/>
      <c r="M75" s="1854"/>
      <c r="N75" s="2985"/>
      <c r="O75" s="2985"/>
      <c r="P75" s="1842"/>
      <c r="Q75" s="1843"/>
    </row>
    <row r="76" spans="1:17">
      <c r="A76" s="1816" t="s">
        <v>2212</v>
      </c>
      <c r="B76" s="1817" t="s">
        <v>2250</v>
      </c>
      <c r="C76" s="1855" t="s">
        <v>2251</v>
      </c>
      <c r="D76" s="1855" t="s">
        <v>2252</v>
      </c>
      <c r="E76" s="1855" t="s">
        <v>2253</v>
      </c>
      <c r="F76" s="1855" t="s">
        <v>2254</v>
      </c>
      <c r="G76" s="1855" t="s">
        <v>2255</v>
      </c>
      <c r="H76" s="1818"/>
      <c r="I76" s="1818"/>
      <c r="J76" s="1818"/>
      <c r="K76" s="463"/>
      <c r="L76" s="463"/>
      <c r="M76" s="1856"/>
      <c r="N76" s="2983"/>
      <c r="O76" s="2983"/>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4"/>
      <c r="O77" s="2984"/>
      <c r="P77" s="1822"/>
      <c r="Q77" s="1791"/>
    </row>
    <row r="78" spans="1:17" ht="15.75" thickTop="1">
      <c r="A78" s="1823"/>
      <c r="B78" s="1828" t="s">
        <v>2256</v>
      </c>
      <c r="C78" s="579" t="s">
        <v>2251</v>
      </c>
      <c r="D78" s="579" t="s">
        <v>2252</v>
      </c>
      <c r="E78" s="579" t="s">
        <v>2253</v>
      </c>
      <c r="F78" s="579" t="s">
        <v>2254</v>
      </c>
      <c r="G78" s="579" t="s">
        <v>2255</v>
      </c>
      <c r="H78" s="1829"/>
      <c r="I78" s="1829"/>
      <c r="J78" s="1829"/>
      <c r="K78" s="428"/>
      <c r="L78" s="428"/>
      <c r="M78" s="1830"/>
      <c r="N78" s="2983"/>
      <c r="O78" s="2983"/>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4"/>
      <c r="O79" s="2984"/>
      <c r="P79" s="1822"/>
      <c r="Q79" s="1791"/>
    </row>
    <row r="80" spans="1:17" ht="15.75" thickTop="1">
      <c r="A80" s="1823"/>
      <c r="B80" s="1828" t="s">
        <v>2257</v>
      </c>
      <c r="C80" s="579" t="s">
        <v>2251</v>
      </c>
      <c r="D80" s="579" t="s">
        <v>2252</v>
      </c>
      <c r="E80" s="579" t="s">
        <v>2253</v>
      </c>
      <c r="F80" s="579" t="s">
        <v>2254</v>
      </c>
      <c r="G80" s="579" t="s">
        <v>2255</v>
      </c>
      <c r="H80" s="1829"/>
      <c r="I80" s="1829"/>
      <c r="J80" s="1829"/>
      <c r="K80" s="428"/>
      <c r="L80" s="428"/>
      <c r="M80" s="1830"/>
      <c r="N80" s="2983"/>
      <c r="O80" s="2983"/>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4"/>
      <c r="O81" s="2984"/>
      <c r="P81" s="1822"/>
      <c r="Q81" s="1791"/>
    </row>
    <row r="82" spans="1:17" ht="15.75" thickTop="1">
      <c r="A82" s="1823"/>
      <c r="B82" s="1834" t="s">
        <v>2300</v>
      </c>
      <c r="C82" s="1829" t="s">
        <v>2258</v>
      </c>
      <c r="D82" s="1829" t="s">
        <v>2259</v>
      </c>
      <c r="E82" s="1829" t="s">
        <v>2260</v>
      </c>
      <c r="F82" s="1829" t="s">
        <v>2261</v>
      </c>
      <c r="G82" s="1829" t="s">
        <v>2262</v>
      </c>
      <c r="H82" s="1829"/>
      <c r="I82" s="1829"/>
      <c r="J82" s="1829"/>
      <c r="K82" s="1829"/>
      <c r="L82" s="1829"/>
      <c r="M82" s="1857"/>
      <c r="N82" s="2984"/>
      <c r="O82" s="2984"/>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84"/>
      <c r="O83" s="2984"/>
      <c r="P83" s="1822"/>
      <c r="Q83" s="1791"/>
    </row>
    <row r="84" spans="1:17" ht="15.75" thickTop="1">
      <c r="A84" s="1823"/>
      <c r="B84" s="1828" t="s">
        <v>2263</v>
      </c>
      <c r="C84" s="579" t="s">
        <v>2251</v>
      </c>
      <c r="D84" s="579" t="s">
        <v>2252</v>
      </c>
      <c r="E84" s="579" t="s">
        <v>2253</v>
      </c>
      <c r="F84" s="579" t="s">
        <v>2254</v>
      </c>
      <c r="G84" s="579" t="s">
        <v>2255</v>
      </c>
      <c r="H84" s="1829"/>
      <c r="I84" s="1829"/>
      <c r="J84" s="1829"/>
      <c r="K84" s="428"/>
      <c r="L84" s="428"/>
      <c r="M84" s="1830"/>
      <c r="N84" s="2983"/>
      <c r="O84" s="2983"/>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4"/>
      <c r="O85" s="2984"/>
      <c r="P85" s="1822"/>
      <c r="Q85" s="1791"/>
    </row>
    <row r="86" spans="1:17" s="1654" customFormat="1" ht="15.75" thickTop="1">
      <c r="A86" s="1859"/>
      <c r="B86" s="1828" t="s">
        <v>2320</v>
      </c>
      <c r="C86" s="468"/>
      <c r="D86" s="468"/>
      <c r="E86" s="468"/>
      <c r="F86" s="468"/>
      <c r="G86" s="468"/>
      <c r="H86" s="468"/>
      <c r="I86" s="468"/>
      <c r="J86" s="468"/>
      <c r="K86" s="468"/>
      <c r="L86" s="468"/>
      <c r="M86" s="1860"/>
      <c r="N86" s="2982"/>
      <c r="O86" s="2982"/>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4"/>
      <c r="O87" s="2984"/>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82"/>
      <c r="O88" s="2982"/>
      <c r="P88" s="1822"/>
      <c r="Q88" s="1791"/>
    </row>
    <row r="89" spans="1:17" s="1654" customFormat="1" ht="15.75" thickBot="1">
      <c r="A89" s="1859"/>
      <c r="B89" s="1831"/>
      <c r="C89" s="1844"/>
      <c r="D89" s="1825"/>
      <c r="E89" s="1825"/>
      <c r="F89" s="1825"/>
      <c r="G89" s="1825"/>
      <c r="H89" s="1825"/>
      <c r="I89" s="1825"/>
      <c r="J89" s="1825"/>
      <c r="K89" s="1825"/>
      <c r="L89" s="1825"/>
      <c r="M89" s="1825"/>
      <c r="N89" s="2984"/>
      <c r="O89" s="2984"/>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5"/>
      <c r="O90" s="2985"/>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5"/>
      <c r="O91" s="2985"/>
      <c r="P91" s="1842"/>
      <c r="Q91" s="1843"/>
    </row>
    <row r="92" spans="1:17" ht="15.75" thickTop="1">
      <c r="A92" s="1823"/>
      <c r="B92" s="1828" t="str">
        <f>B28</f>
        <v>楼层</v>
      </c>
      <c r="C92" s="468"/>
      <c r="D92" s="468"/>
      <c r="E92" s="468"/>
      <c r="F92" s="468"/>
      <c r="G92" s="468"/>
      <c r="H92" s="468"/>
      <c r="I92" s="468"/>
      <c r="J92" s="468"/>
      <c r="K92" s="468"/>
      <c r="L92" s="468"/>
      <c r="M92" s="1860"/>
      <c r="N92" s="2983"/>
      <c r="O92" s="2983"/>
      <c r="P92" s="1822"/>
      <c r="Q92" s="1791"/>
    </row>
    <row r="93" spans="1:17" ht="15.75" thickBot="1">
      <c r="A93" s="1823"/>
      <c r="B93" s="1831"/>
      <c r="C93" s="1825"/>
      <c r="D93" s="1825"/>
      <c r="E93" s="1825"/>
      <c r="F93" s="1825"/>
      <c r="G93" s="1825"/>
      <c r="H93" s="1825"/>
      <c r="I93" s="1825"/>
      <c r="J93" s="1825"/>
      <c r="K93" s="1825"/>
      <c r="L93" s="1825"/>
      <c r="M93" s="1826"/>
      <c r="N93" s="2984"/>
      <c r="O93" s="2984"/>
      <c r="P93" s="1822"/>
      <c r="Q93" s="1791"/>
    </row>
    <row r="94" spans="1:17" ht="15.75" thickTop="1">
      <c r="A94" s="1823"/>
      <c r="B94" s="1828">
        <f>B29</f>
        <v>111</v>
      </c>
      <c r="C94" s="468"/>
      <c r="D94" s="468"/>
      <c r="E94" s="468"/>
      <c r="F94" s="468"/>
      <c r="G94" s="1547"/>
      <c r="H94" s="1547"/>
      <c r="I94" s="1547"/>
      <c r="J94" s="1547"/>
      <c r="K94" s="473"/>
      <c r="L94" s="473"/>
      <c r="M94" s="1863"/>
      <c r="N94" s="2983"/>
      <c r="O94" s="2983"/>
      <c r="P94" s="1822"/>
      <c r="Q94" s="1791"/>
    </row>
    <row r="95" spans="1:17" ht="15.75" thickBot="1">
      <c r="A95" s="1823"/>
      <c r="B95" s="1831"/>
      <c r="C95" s="1844"/>
      <c r="D95" s="1825"/>
      <c r="E95" s="1825"/>
      <c r="F95" s="1825"/>
      <c r="G95" s="1825"/>
      <c r="H95" s="1825"/>
      <c r="I95" s="1825"/>
      <c r="J95" s="1825"/>
      <c r="K95" s="1825"/>
      <c r="L95" s="1825"/>
      <c r="M95" s="1826"/>
      <c r="N95" s="2984"/>
      <c r="O95" s="2984"/>
      <c r="P95" s="1822"/>
      <c r="Q95" s="1791"/>
    </row>
    <row r="96" spans="1:17" ht="15.75" thickTop="1">
      <c r="A96" s="1823"/>
      <c r="B96" s="1828">
        <f>B30</f>
        <v>111</v>
      </c>
      <c r="C96" s="468"/>
      <c r="D96" s="468"/>
      <c r="E96" s="468"/>
      <c r="F96" s="468"/>
      <c r="G96" s="1547"/>
      <c r="H96" s="1547"/>
      <c r="I96" s="1547"/>
      <c r="J96" s="1547"/>
      <c r="K96" s="473"/>
      <c r="L96" s="473"/>
      <c r="M96" s="1863"/>
      <c r="N96" s="2983"/>
      <c r="O96" s="2983"/>
      <c r="P96" s="1822"/>
      <c r="Q96" s="1791"/>
    </row>
    <row r="97" spans="1:17" ht="15.75" thickBot="1">
      <c r="A97" s="1823"/>
      <c r="B97" s="1831"/>
      <c r="C97" s="1844"/>
      <c r="D97" s="1825"/>
      <c r="E97" s="1825"/>
      <c r="F97" s="1825"/>
      <c r="G97" s="1825"/>
      <c r="H97" s="1825"/>
      <c r="I97" s="1825"/>
      <c r="J97" s="1825"/>
      <c r="K97" s="1825"/>
      <c r="L97" s="1825"/>
      <c r="M97" s="1826"/>
      <c r="N97" s="2984"/>
      <c r="O97" s="2984"/>
      <c r="P97" s="1822"/>
      <c r="Q97" s="1791"/>
    </row>
    <row r="98" spans="1:17" ht="15.75" thickTop="1">
      <c r="A98" s="1823"/>
      <c r="B98" s="1834">
        <f>B31</f>
        <v>111</v>
      </c>
      <c r="C98" s="468"/>
      <c r="D98" s="468"/>
      <c r="E98" s="468"/>
      <c r="F98" s="468"/>
      <c r="G98" s="1864"/>
      <c r="H98" s="1864"/>
      <c r="I98" s="1864"/>
      <c r="J98" s="1864"/>
      <c r="K98" s="477"/>
      <c r="L98" s="477"/>
      <c r="M98" s="1865"/>
      <c r="N98" s="2983"/>
      <c r="O98" s="2983"/>
      <c r="P98" s="1822"/>
      <c r="Q98" s="1791"/>
    </row>
    <row r="99" spans="1:17" ht="15.75" thickBot="1">
      <c r="A99" s="1866"/>
      <c r="B99" s="1851"/>
      <c r="C99" s="1852"/>
      <c r="D99" s="1852"/>
      <c r="E99" s="1852"/>
      <c r="F99" s="1852"/>
      <c r="G99" s="1867"/>
      <c r="H99" s="1867"/>
      <c r="I99" s="1867"/>
      <c r="J99" s="1867"/>
      <c r="K99" s="1867"/>
      <c r="L99" s="1867"/>
      <c r="M99" s="1868"/>
      <c r="N99" s="2984"/>
      <c r="O99" s="2984"/>
      <c r="P99" s="1822"/>
      <c r="Q99" s="1791"/>
    </row>
    <row r="100" spans="1:17">
      <c r="A100" s="1816" t="s">
        <v>2217</v>
      </c>
      <c r="B100" s="1817" t="s">
        <v>2321</v>
      </c>
      <c r="C100" s="1819"/>
      <c r="D100" s="1819"/>
      <c r="E100" s="1819"/>
      <c r="F100" s="1819"/>
      <c r="G100" s="1819"/>
      <c r="H100" s="1819"/>
      <c r="I100" s="1819"/>
      <c r="J100" s="1819"/>
      <c r="K100" s="417"/>
      <c r="L100" s="417"/>
      <c r="M100" s="1820"/>
      <c r="N100" s="2983"/>
      <c r="O100" s="2983"/>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4"/>
      <c r="O101" s="2984"/>
      <c r="P101" s="1822"/>
      <c r="Q101" s="1791"/>
    </row>
    <row r="102" spans="1:17" ht="15.75" thickTop="1">
      <c r="A102" s="1823"/>
      <c r="B102" s="1828"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2"/>
      <c r="O102" s="2982"/>
      <c r="P102" s="1822"/>
      <c r="Q102" s="1791"/>
    </row>
    <row r="103" spans="1:17" s="1741" customFormat="1">
      <c r="A103" s="1869"/>
      <c r="B103" s="1870"/>
      <c r="C103" s="1871"/>
      <c r="D103" s="1871"/>
      <c r="E103" s="1871"/>
      <c r="F103" s="1871"/>
      <c r="G103" s="1871"/>
      <c r="H103" s="1871"/>
      <c r="I103" s="1871"/>
      <c r="J103" s="485"/>
      <c r="K103" s="485"/>
      <c r="L103" s="485"/>
      <c r="M103" s="1872"/>
      <c r="N103" s="2985"/>
      <c r="O103" s="2985"/>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4"/>
      <c r="O104" s="2984"/>
      <c r="P104" s="1842"/>
      <c r="Q104" s="1843"/>
    </row>
    <row r="105" spans="1:17" ht="15" thickTop="1">
      <c r="A105" s="1873"/>
      <c r="B105" s="1828" t="s">
        <v>2268</v>
      </c>
      <c r="C105" s="468"/>
      <c r="D105" s="468"/>
      <c r="E105" s="1547"/>
      <c r="F105" s="1547"/>
      <c r="G105" s="1547"/>
      <c r="H105" s="1547"/>
      <c r="I105" s="1547"/>
      <c r="J105" s="1547"/>
      <c r="K105" s="473"/>
      <c r="L105" s="473"/>
      <c r="M105" s="1863"/>
      <c r="N105" s="2983"/>
      <c r="O105" s="2983"/>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4"/>
      <c r="O106" s="2984"/>
      <c r="P106" s="1822"/>
      <c r="Q106" s="1791"/>
    </row>
    <row r="107" spans="1:17" ht="15" thickTop="1">
      <c r="A107" s="1873"/>
      <c r="B107" s="1828" t="s">
        <v>2270</v>
      </c>
      <c r="C107" s="468"/>
      <c r="D107" s="468"/>
      <c r="E107" s="468"/>
      <c r="F107" s="1547"/>
      <c r="G107" s="1547"/>
      <c r="H107" s="1547"/>
      <c r="I107" s="1547"/>
      <c r="J107" s="1547"/>
      <c r="K107" s="473"/>
      <c r="L107" s="473"/>
      <c r="M107" s="1863"/>
      <c r="N107" s="2983"/>
      <c r="O107" s="2983"/>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4"/>
      <c r="O108" s="2984"/>
      <c r="P108" s="1822"/>
      <c r="Q108" s="1791"/>
    </row>
    <row r="109" spans="1:17" ht="15" thickTop="1">
      <c r="A109" s="1873"/>
      <c r="B109" s="1828"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83"/>
      <c r="O109" s="2983"/>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3"/>
      <c r="O110" s="2983"/>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4"/>
      <c r="O111" s="2984"/>
      <c r="P111" s="1822"/>
      <c r="Q111" s="1791"/>
    </row>
    <row r="112" spans="1:17" s="1741" customFormat="1" ht="15" thickTop="1">
      <c r="A112" s="1869"/>
      <c r="B112" s="1828" t="s">
        <v>2273</v>
      </c>
      <c r="C112" s="468"/>
      <c r="D112" s="468"/>
      <c r="E112" s="468"/>
      <c r="F112" s="468"/>
      <c r="G112" s="468"/>
      <c r="H112" s="1547"/>
      <c r="I112" s="1547"/>
      <c r="J112" s="1547"/>
      <c r="K112" s="473"/>
      <c r="L112" s="473"/>
      <c r="M112" s="1863"/>
      <c r="N112" s="2985"/>
      <c r="O112" s="2985"/>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5"/>
      <c r="O113" s="2985"/>
      <c r="P113" s="1842"/>
      <c r="Q113" s="1843"/>
    </row>
    <row r="114" spans="1:17" ht="15" thickTop="1">
      <c r="A114" s="1873"/>
      <c r="B114" s="1828" t="s">
        <v>2322</v>
      </c>
      <c r="C114" s="468"/>
      <c r="D114" s="468"/>
      <c r="E114" s="1547"/>
      <c r="F114" s="1547"/>
      <c r="G114" s="1547"/>
      <c r="H114" s="1547"/>
      <c r="I114" s="1547"/>
      <c r="J114" s="1547"/>
      <c r="K114" s="473"/>
      <c r="L114" s="473"/>
      <c r="M114" s="1863"/>
      <c r="N114" s="2983"/>
      <c r="O114" s="2983"/>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4"/>
      <c r="O115" s="2984"/>
      <c r="P115" s="1822"/>
      <c r="Q115" s="1791"/>
    </row>
    <row r="116" spans="1:17" ht="15" thickTop="1">
      <c r="A116" s="1873"/>
      <c r="B116" s="1828" t="s">
        <v>2323</v>
      </c>
      <c r="C116" s="468"/>
      <c r="D116" s="468"/>
      <c r="E116" s="468"/>
      <c r="F116" s="468"/>
      <c r="G116" s="468"/>
      <c r="H116" s="1547"/>
      <c r="I116" s="1547"/>
      <c r="J116" s="1547"/>
      <c r="K116" s="473"/>
      <c r="L116" s="473"/>
      <c r="M116" s="1863"/>
      <c r="N116" s="2983"/>
      <c r="O116" s="2983"/>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4"/>
      <c r="O117" s="2984"/>
      <c r="P117" s="1822"/>
      <c r="Q117" s="1791"/>
    </row>
    <row r="118" spans="1:17" ht="15" thickTop="1">
      <c r="A118" s="1873"/>
      <c r="B118" s="1828" t="s">
        <v>2324</v>
      </c>
      <c r="C118" s="2455"/>
      <c r="D118" s="2455"/>
      <c r="E118" s="2455"/>
      <c r="F118" s="2455"/>
      <c r="G118" s="2455"/>
      <c r="H118" s="443"/>
      <c r="I118" s="443"/>
      <c r="J118" s="443"/>
      <c r="K118" s="443"/>
      <c r="L118" s="443"/>
      <c r="M118" s="1840"/>
      <c r="N118" s="2983"/>
      <c r="O118" s="2983"/>
      <c r="P118" s="1822"/>
      <c r="Q118" s="1791"/>
    </row>
    <row r="119" spans="1:17" ht="15.75" thickBot="1">
      <c r="A119" s="1823"/>
      <c r="B119" s="1831"/>
      <c r="C119" s="1844"/>
      <c r="D119" s="1825"/>
      <c r="E119" s="1825"/>
      <c r="F119" s="1825"/>
      <c r="G119" s="1825"/>
      <c r="H119" s="1825"/>
      <c r="I119" s="1825"/>
      <c r="J119" s="1825"/>
      <c r="K119" s="1825"/>
      <c r="L119" s="1825"/>
      <c r="M119" s="1826"/>
      <c r="N119" s="2984"/>
      <c r="O119" s="2984"/>
      <c r="P119" s="1822"/>
      <c r="Q119" s="1791"/>
    </row>
    <row r="120" spans="1:17" s="1741" customFormat="1" ht="15" thickTop="1">
      <c r="A120" s="1869"/>
      <c r="B120" s="1828" t="s">
        <v>2325</v>
      </c>
      <c r="C120" s="1547"/>
      <c r="D120" s="1547"/>
      <c r="E120" s="1547"/>
      <c r="F120" s="1547"/>
      <c r="G120" s="443"/>
      <c r="H120" s="443"/>
      <c r="I120" s="443"/>
      <c r="J120" s="443"/>
      <c r="K120" s="443"/>
      <c r="L120" s="443"/>
      <c r="M120" s="1840"/>
      <c r="N120" s="2985"/>
      <c r="O120" s="2985"/>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5"/>
      <c r="O121" s="2985"/>
      <c r="P121" s="1842"/>
      <c r="Q121" s="1843"/>
    </row>
    <row r="122" spans="1:17" ht="15" thickTop="1">
      <c r="A122" s="1873"/>
      <c r="B122" s="1828" t="s">
        <v>2275</v>
      </c>
      <c r="C122" s="468"/>
      <c r="D122" s="468"/>
      <c r="E122" s="468"/>
      <c r="F122" s="1547"/>
      <c r="G122" s="1547"/>
      <c r="H122" s="1547"/>
      <c r="I122" s="1547"/>
      <c r="J122" s="1547"/>
      <c r="K122" s="473"/>
      <c r="L122" s="473"/>
      <c r="M122" s="1863"/>
      <c r="N122" s="2983"/>
      <c r="O122" s="2983"/>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4"/>
      <c r="O123" s="2984"/>
      <c r="P123" s="1822"/>
      <c r="Q123" s="1791"/>
    </row>
    <row r="124" spans="1:17" ht="15" thickTop="1">
      <c r="A124" s="1873"/>
      <c r="B124" s="1828" t="s">
        <v>2276</v>
      </c>
      <c r="C124" s="579" t="s">
        <v>2251</v>
      </c>
      <c r="D124" s="579" t="s">
        <v>2252</v>
      </c>
      <c r="E124" s="579" t="s">
        <v>2253</v>
      </c>
      <c r="F124" s="579" t="s">
        <v>2254</v>
      </c>
      <c r="G124" s="579" t="s">
        <v>2255</v>
      </c>
      <c r="H124" s="1829"/>
      <c r="I124" s="1829"/>
      <c r="J124" s="1829"/>
      <c r="K124" s="428"/>
      <c r="L124" s="428"/>
      <c r="M124" s="1830"/>
      <c r="N124" s="2983"/>
      <c r="O124" s="2983"/>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4"/>
      <c r="O125" s="2984"/>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5"/>
      <c r="O126" s="2985"/>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5"/>
      <c r="O127" s="2985"/>
      <c r="P127" s="1842"/>
      <c r="Q127" s="1843"/>
    </row>
    <row r="128" spans="1:17" ht="15" thickTop="1">
      <c r="A128" s="1873"/>
      <c r="B128" s="1828">
        <f>B45</f>
        <v>111</v>
      </c>
      <c r="C128" s="468"/>
      <c r="D128" s="468"/>
      <c r="E128" s="468"/>
      <c r="F128" s="468"/>
      <c r="G128" s="1547"/>
      <c r="H128" s="1547"/>
      <c r="I128" s="1547"/>
      <c r="J128" s="1547"/>
      <c r="K128" s="473"/>
      <c r="L128" s="473"/>
      <c r="M128" s="1863"/>
      <c r="N128" s="2983"/>
      <c r="O128" s="2983"/>
      <c r="P128" s="1822"/>
      <c r="Q128" s="1791"/>
    </row>
    <row r="129" spans="1:17" ht="15.75" thickBot="1">
      <c r="A129" s="1823"/>
      <c r="B129" s="1831"/>
      <c r="C129" s="1844"/>
      <c r="D129" s="1825"/>
      <c r="E129" s="1825"/>
      <c r="F129" s="1825"/>
      <c r="G129" s="1825"/>
      <c r="H129" s="1825"/>
      <c r="I129" s="1825"/>
      <c r="J129" s="1825"/>
      <c r="K129" s="1825"/>
      <c r="L129" s="1825"/>
      <c r="M129" s="1826"/>
      <c r="N129" s="2984"/>
      <c r="O129" s="2984"/>
      <c r="P129" s="1822"/>
      <c r="Q129" s="1791"/>
    </row>
    <row r="130" spans="1:17" ht="15" thickTop="1">
      <c r="A130" s="1873"/>
      <c r="B130" s="1834">
        <f>B46</f>
        <v>111</v>
      </c>
      <c r="C130" s="468"/>
      <c r="D130" s="468"/>
      <c r="E130" s="468"/>
      <c r="F130" s="468"/>
      <c r="G130" s="1864"/>
      <c r="H130" s="1864"/>
      <c r="I130" s="1864"/>
      <c r="J130" s="1864"/>
      <c r="K130" s="409"/>
      <c r="L130" s="409"/>
      <c r="M130" s="1865"/>
      <c r="N130" s="2983"/>
      <c r="O130" s="2983"/>
      <c r="P130" s="1822"/>
      <c r="Q130" s="1791"/>
    </row>
    <row r="131" spans="1:17" ht="15.75" thickBot="1">
      <c r="A131" s="1866"/>
      <c r="B131" s="1851"/>
      <c r="C131" s="1852"/>
      <c r="D131" s="1852"/>
      <c r="E131" s="1852"/>
      <c r="F131" s="1852"/>
      <c r="G131" s="1867"/>
      <c r="H131" s="1867"/>
      <c r="I131" s="1867"/>
      <c r="J131" s="1867"/>
      <c r="K131" s="1867"/>
      <c r="L131" s="1867"/>
      <c r="M131" s="1868"/>
      <c r="N131" s="2984"/>
      <c r="O131" s="2984"/>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21" stopIfTrue="1" operator="containsText" text="超过">
      <formula>NOT(ISERROR(SEARCH("超过",F52)))</formula>
    </cfRule>
  </conditionalFormatting>
  <conditionalFormatting sqref="H54">
    <cfRule type="containsText" dxfId="94" priority="19" stopIfTrue="1" operator="containsText" text="超过">
      <formula>NOT(ISERROR(SEARCH("超过",H54)))</formula>
    </cfRule>
  </conditionalFormatting>
  <conditionalFormatting sqref="F54">
    <cfRule type="containsText" dxfId="93" priority="18" stopIfTrue="1" operator="containsText" text="超过">
      <formula>NOT(ISERROR(SEARCH("超过",F54)))</formula>
    </cfRule>
  </conditionalFormatting>
  <conditionalFormatting sqref="F53 H53">
    <cfRule type="containsText" dxfId="92" priority="17" stopIfTrue="1" operator="containsText" text="超过">
      <formula>NOT(ISERROR(SEARCH("超过",F53)))</formula>
    </cfRule>
  </conditionalFormatting>
  <conditionalFormatting sqref="E52">
    <cfRule type="expression" dxfId="91" priority="16" stopIfTrue="1">
      <formula>$F$52="超过30%"</formula>
    </cfRule>
  </conditionalFormatting>
  <conditionalFormatting sqref="E53">
    <cfRule type="expression" dxfId="90" priority="15" stopIfTrue="1">
      <formula>$F$53="超过20%"</formula>
    </cfRule>
  </conditionalFormatting>
  <conditionalFormatting sqref="E54">
    <cfRule type="expression" dxfId="89" priority="14" stopIfTrue="1">
      <formula>$F$54="超过30%"</formula>
    </cfRule>
  </conditionalFormatting>
  <conditionalFormatting sqref="G54">
    <cfRule type="expression" dxfId="88" priority="13" stopIfTrue="1">
      <formula>$H$54="超过30%"</formula>
    </cfRule>
  </conditionalFormatting>
  <conditionalFormatting sqref="G52">
    <cfRule type="expression" dxfId="87" priority="12" stopIfTrue="1">
      <formula>$H$52="超过30%"</formula>
    </cfRule>
  </conditionalFormatting>
  <conditionalFormatting sqref="G53">
    <cfRule type="expression" dxfId="86" priority="11" stopIfTrue="1">
      <formula>$H$53="超过20%"</formula>
    </cfRule>
  </conditionalFormatting>
  <conditionalFormatting sqref="J52">
    <cfRule type="containsText" dxfId="85" priority="10" stopIfTrue="1" operator="containsText" text="超过">
      <formula>NOT(ISERROR(SEARCH("超过",J52)))</formula>
    </cfRule>
  </conditionalFormatting>
  <conditionalFormatting sqref="J54">
    <cfRule type="containsText" dxfId="84" priority="9" stopIfTrue="1" operator="containsText" text="超过">
      <formula>NOT(ISERROR(SEARCH("超过",J54)))</formula>
    </cfRule>
  </conditionalFormatting>
  <conditionalFormatting sqref="J53">
    <cfRule type="containsText" dxfId="83" priority="8" stopIfTrue="1" operator="containsText" text="超过">
      <formula>NOT(ISERROR(SEARCH("超过",J53)))</formula>
    </cfRule>
  </conditionalFormatting>
  <conditionalFormatting sqref="I52">
    <cfRule type="expression" dxfId="82" priority="7" stopIfTrue="1">
      <formula>$J$52="超过30%"</formula>
    </cfRule>
  </conditionalFormatting>
  <conditionalFormatting sqref="I53">
    <cfRule type="expression" dxfId="81" priority="6" stopIfTrue="1">
      <formula>$J$53="超过20%"</formula>
    </cfRule>
  </conditionalFormatting>
  <conditionalFormatting sqref="I54">
    <cfRule type="expression" dxfId="80" priority="5" stopIfTrue="1">
      <formula>$J$54="超过30%"</formula>
    </cfRule>
  </conditionalFormatting>
  <conditionalFormatting sqref="F48">
    <cfRule type="expression" dxfId="79" priority="4">
      <formula>$D$48="简单平均"</formula>
    </cfRule>
  </conditionalFormatting>
  <conditionalFormatting sqref="H48">
    <cfRule type="expression" dxfId="78" priority="3">
      <formula>$D$48="简单平均"</formula>
    </cfRule>
  </conditionalFormatting>
  <conditionalFormatting sqref="J48">
    <cfRule type="expression" dxfId="77" priority="2">
      <formula>$D$48="简单平均"</formula>
    </cfRule>
  </conditionalFormatting>
  <conditionalFormatting sqref="F7:F46 H7:H46 J7:J46">
    <cfRule type="cellIs" dxfId="7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2348</v>
      </c>
      <c r="B1" s="1551"/>
      <c r="C1" s="1191"/>
      <c r="D1" s="1192"/>
      <c r="E1" s="1528"/>
      <c r="F1" s="1193" t="s">
        <v>2186</v>
      </c>
      <c r="G1" s="1192"/>
      <c r="H1" s="1192"/>
      <c r="I1" s="1192"/>
      <c r="J1" s="1192"/>
      <c r="K1" s="1194"/>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IF(D2="——",IF(B37="元/平方米",IF(C2="元",ROUND(C39*D3,0),ROUND(C39*D3/10000,0)),IF(C2="元",ROUND(F3*C39,0),ROUND(F3*C39/10000,0))),IF(B37="元/平方米",IF(C2="元",ROUND(C39*D3,0),ROUND(C39*D3/10000,0)),IF(C2="元",ROUND(F3*C39,0),ROUND(F3*C39/10000,0)))-E2)</f>
        <v>#DIV/0!</v>
      </c>
      <c r="C2" s="79" t="str">
        <f>'数据-取费表'!B3</f>
        <v>万元</v>
      </c>
      <c r="D2" s="1529"/>
      <c r="E2" s="927" t="e">
        <f ca="1">SUMIF(INDIRECT("'"&amp;G2&amp;"'"&amp;"!A:A"),"承租人权益价值",INDIRECT("'"&amp;G2&amp;"'"&amp;"!c:c"))</f>
        <v>#REF!</v>
      </c>
      <c r="F2" s="1530" t="str">
        <f>C2</f>
        <v>万元</v>
      </c>
      <c r="G2" s="1531"/>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2187</v>
      </c>
      <c r="D3" s="292">
        <f>IF(C1="仅计算典型户型",'数据-取费表'!E5,'数据-取费表'!B5)</f>
        <v>393.43</v>
      </c>
      <c r="E3" s="839" t="s">
        <v>2349</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593" t="s">
        <v>2189</v>
      </c>
      <c r="D4" s="3594"/>
      <c r="E4" s="3595" t="s">
        <v>2190</v>
      </c>
      <c r="F4" s="3596"/>
      <c r="G4" s="3593" t="s">
        <v>2191</v>
      </c>
      <c r="H4" s="3594"/>
      <c r="I4" s="3593" t="s">
        <v>2192</v>
      </c>
      <c r="J4" s="3594"/>
      <c r="K4" s="496" t="s">
        <v>2193</v>
      </c>
      <c r="L4" s="2992"/>
      <c r="M4" s="2993"/>
      <c r="N4" s="2993"/>
      <c r="O4" s="2993"/>
      <c r="P4" s="3597" t="s">
        <v>2194</v>
      </c>
      <c r="Q4" s="3598"/>
      <c r="R4" s="3603" t="s">
        <v>2190</v>
      </c>
      <c r="S4" s="3604"/>
      <c r="T4" s="3603" t="s">
        <v>2191</v>
      </c>
      <c r="U4" s="3604"/>
      <c r="V4" s="3609" t="s">
        <v>2192</v>
      </c>
      <c r="W4" s="3609"/>
      <c r="X4" s="1304"/>
      <c r="Y4" s="3603" t="s">
        <v>2194</v>
      </c>
      <c r="Z4" s="3604"/>
      <c r="AA4" s="3590" t="s">
        <v>2190</v>
      </c>
      <c r="AB4" s="3591" t="s">
        <v>2191</v>
      </c>
      <c r="AC4" s="3590" t="s">
        <v>2192</v>
      </c>
    </row>
    <row r="5" spans="1:29" ht="15">
      <c r="A5" s="297"/>
      <c r="B5" s="298"/>
      <c r="C5" s="3586" t="s">
        <v>2195</v>
      </c>
      <c r="D5" s="3587"/>
      <c r="E5" s="3610" t="s">
        <v>2196</v>
      </c>
      <c r="F5" s="3611"/>
      <c r="G5" s="3586" t="s">
        <v>2197</v>
      </c>
      <c r="H5" s="3587"/>
      <c r="I5" s="3586" t="s">
        <v>2198</v>
      </c>
      <c r="J5" s="3587"/>
      <c r="K5" s="496"/>
      <c r="L5" s="2992"/>
      <c r="M5" s="2993"/>
      <c r="N5" s="2993"/>
      <c r="O5" s="2993"/>
      <c r="P5" s="3599"/>
      <c r="Q5" s="3600"/>
      <c r="R5" s="3605"/>
      <c r="S5" s="3606"/>
      <c r="T5" s="3605"/>
      <c r="U5" s="3606"/>
      <c r="V5" s="3609"/>
      <c r="W5" s="3609"/>
      <c r="X5" s="1304"/>
      <c r="Y5" s="3605"/>
      <c r="Z5" s="3606"/>
      <c r="AA5" s="3591"/>
      <c r="AB5" s="3591"/>
      <c r="AC5" s="3591"/>
    </row>
    <row r="6" spans="1:29" ht="15.75" thickBot="1">
      <c r="A6" s="299"/>
      <c r="B6" s="300"/>
      <c r="C6" s="3583" t="s">
        <v>2199</v>
      </c>
      <c r="D6" s="3584"/>
      <c r="E6" s="3581" t="s">
        <v>2199</v>
      </c>
      <c r="F6" s="3582"/>
      <c r="G6" s="3583" t="s">
        <v>2199</v>
      </c>
      <c r="H6" s="3584"/>
      <c r="I6" s="3583" t="s">
        <v>2199</v>
      </c>
      <c r="J6" s="3584"/>
      <c r="K6" s="496" t="s">
        <v>2200</v>
      </c>
      <c r="L6" s="2992"/>
      <c r="M6" s="2993"/>
      <c r="N6" s="2993"/>
      <c r="O6" s="2993"/>
      <c r="P6" s="3601"/>
      <c r="Q6" s="3602"/>
      <c r="R6" s="3605"/>
      <c r="S6" s="3606"/>
      <c r="T6" s="3607"/>
      <c r="U6" s="3608"/>
      <c r="V6" s="3609"/>
      <c r="W6" s="3609"/>
      <c r="X6" s="1304"/>
      <c r="Y6" s="3607"/>
      <c r="Z6" s="3608"/>
      <c r="AA6" s="3592"/>
      <c r="AB6" s="3592"/>
      <c r="AC6" s="3592"/>
    </row>
    <row r="7" spans="1:29" s="25" customFormat="1" ht="15.75" thickBot="1">
      <c r="A7" s="301" t="s">
        <v>2201</v>
      </c>
      <c r="B7" s="302"/>
      <c r="C7" s="303">
        <f>'数据-取费表'!B2</f>
        <v>44561</v>
      </c>
      <c r="D7" s="304">
        <v>100</v>
      </c>
      <c r="E7" s="305"/>
      <c r="F7" s="306">
        <f>SUMIF(48:48,YEAR(E7)&amp;"-"&amp;MONTH(E7),49:49)</f>
        <v>0</v>
      </c>
      <c r="G7" s="305"/>
      <c r="H7" s="304">
        <f>SUMIF(48:48,YEAR(G7)&amp;"-"&amp;MONTH(G7),49:49)</f>
        <v>0</v>
      </c>
      <c r="I7" s="305"/>
      <c r="J7" s="304">
        <f>SUMIF(48:48,YEAR(I7)&amp;"-"&amp;MONTH(I7),49:49)</f>
        <v>0</v>
      </c>
      <c r="K7" s="497"/>
      <c r="L7" s="2994"/>
      <c r="M7" s="2995"/>
      <c r="N7" s="2995"/>
      <c r="O7" s="2995"/>
      <c r="P7" s="3588" t="s">
        <v>2202</v>
      </c>
      <c r="Q7" s="3612"/>
      <c r="R7" s="627" t="s">
        <v>25</v>
      </c>
      <c r="S7" s="628">
        <f t="shared" ref="S7:S14" si="0">F7</f>
        <v>0</v>
      </c>
      <c r="T7" s="627" t="s">
        <v>25</v>
      </c>
      <c r="U7" s="628">
        <f t="shared" ref="U7:U14" si="1">H7</f>
        <v>0</v>
      </c>
      <c r="V7" s="627" t="s">
        <v>25</v>
      </c>
      <c r="W7" s="628">
        <f t="shared" ref="W7:W14" si="2">J7</f>
        <v>0</v>
      </c>
      <c r="X7" s="629"/>
      <c r="Y7" s="3588" t="s">
        <v>2202</v>
      </c>
      <c r="Z7" s="3589"/>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588" t="s">
        <v>2205</v>
      </c>
      <c r="Q8" s="3589"/>
      <c r="R8" s="627" t="s">
        <v>25</v>
      </c>
      <c r="S8" s="628">
        <f t="shared" si="0"/>
        <v>0</v>
      </c>
      <c r="T8" s="627" t="s">
        <v>25</v>
      </c>
      <c r="U8" s="628">
        <f t="shared" si="1"/>
        <v>0</v>
      </c>
      <c r="V8" s="627" t="s">
        <v>25</v>
      </c>
      <c r="W8" s="628">
        <f t="shared" si="2"/>
        <v>0</v>
      </c>
      <c r="X8" s="629"/>
      <c r="Y8" s="3588" t="s">
        <v>2205</v>
      </c>
      <c r="Z8" s="3589"/>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585" t="s">
        <v>2208</v>
      </c>
      <c r="Q9" s="1296" t="str">
        <f t="shared" ref="Q9:Q14" si="6">B9</f>
        <v>用途</v>
      </c>
      <c r="R9" s="627" t="s">
        <v>25</v>
      </c>
      <c r="S9" s="628">
        <f t="shared" si="0"/>
        <v>100</v>
      </c>
      <c r="T9" s="627" t="s">
        <v>25</v>
      </c>
      <c r="U9" s="628">
        <f t="shared" si="1"/>
        <v>100</v>
      </c>
      <c r="V9" s="627" t="s">
        <v>25</v>
      </c>
      <c r="W9" s="628">
        <f t="shared" si="2"/>
        <v>100</v>
      </c>
      <c r="X9" s="629"/>
      <c r="Y9" s="3615"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585"/>
      <c r="Q10" s="1296" t="str">
        <f t="shared" si="6"/>
        <v>土地使用年限（年）</v>
      </c>
      <c r="R10" s="627" t="s">
        <v>25</v>
      </c>
      <c r="S10" s="628">
        <f t="shared" si="0"/>
        <v>100</v>
      </c>
      <c r="T10" s="627" t="s">
        <v>25</v>
      </c>
      <c r="U10" s="628">
        <f t="shared" si="1"/>
        <v>100</v>
      </c>
      <c r="V10" s="627" t="s">
        <v>25</v>
      </c>
      <c r="W10" s="628">
        <f t="shared" si="2"/>
        <v>100</v>
      </c>
      <c r="X10" s="629"/>
      <c r="Y10" s="361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585"/>
      <c r="Q11" s="1296">
        <f t="shared" si="6"/>
        <v>111</v>
      </c>
      <c r="R11" s="627" t="s">
        <v>25</v>
      </c>
      <c r="S11" s="628">
        <f t="shared" si="0"/>
        <v>100</v>
      </c>
      <c r="T11" s="627" t="s">
        <v>25</v>
      </c>
      <c r="U11" s="628">
        <f t="shared" si="1"/>
        <v>100</v>
      </c>
      <c r="V11" s="627" t="s">
        <v>25</v>
      </c>
      <c r="W11" s="628">
        <f t="shared" si="2"/>
        <v>100</v>
      </c>
      <c r="X11" s="629"/>
      <c r="Y11" s="361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585"/>
      <c r="Q12" s="1296">
        <f t="shared" si="6"/>
        <v>111</v>
      </c>
      <c r="R12" s="627" t="s">
        <v>25</v>
      </c>
      <c r="S12" s="628">
        <f t="shared" si="0"/>
        <v>100</v>
      </c>
      <c r="T12" s="627" t="s">
        <v>25</v>
      </c>
      <c r="U12" s="628">
        <f t="shared" si="1"/>
        <v>100</v>
      </c>
      <c r="V12" s="627" t="s">
        <v>25</v>
      </c>
      <c r="W12" s="628">
        <f t="shared" si="2"/>
        <v>100</v>
      </c>
      <c r="X12" s="629"/>
      <c r="Y12" s="361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585"/>
      <c r="Q13" s="1296">
        <f t="shared" si="6"/>
        <v>111</v>
      </c>
      <c r="R13" s="627" t="s">
        <v>25</v>
      </c>
      <c r="S13" s="628">
        <f t="shared" si="0"/>
        <v>100</v>
      </c>
      <c r="T13" s="627" t="s">
        <v>25</v>
      </c>
      <c r="U13" s="628">
        <f t="shared" si="1"/>
        <v>100</v>
      </c>
      <c r="V13" s="627" t="s">
        <v>25</v>
      </c>
      <c r="W13" s="628">
        <f t="shared" si="2"/>
        <v>100</v>
      </c>
      <c r="X13" s="629"/>
      <c r="Y13" s="3615"/>
      <c r="Z13" s="19">
        <f t="shared" si="7"/>
        <v>111</v>
      </c>
      <c r="AA13" s="630">
        <f t="shared" si="3"/>
        <v>1</v>
      </c>
      <c r="AB13" s="630">
        <f t="shared" si="4"/>
        <v>1</v>
      </c>
      <c r="AC13" s="630">
        <f t="shared" si="5"/>
        <v>1</v>
      </c>
    </row>
    <row r="14" spans="1:29" ht="85.5">
      <c r="A14" s="294" t="s">
        <v>2212</v>
      </c>
      <c r="B14" s="511" t="s">
        <v>2350</v>
      </c>
      <c r="C14" s="1113" t="str">
        <f>IF(B1="工业",估价对象房地状况!G4,估价对象房地状况!C6)</f>
        <v>估价对象周边道路状况、公共交通通达情况、停车便捷程度，综合评价交通便捷度较好</v>
      </c>
      <c r="D14" s="1107">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13" t="s">
        <v>2213</v>
      </c>
      <c r="Q14" s="1303" t="str">
        <f t="shared" si="6"/>
        <v>交通便捷度</v>
      </c>
      <c r="R14" s="631" t="s">
        <v>25</v>
      </c>
      <c r="S14" s="632">
        <f t="shared" si="0"/>
        <v>100</v>
      </c>
      <c r="T14" s="631" t="s">
        <v>25</v>
      </c>
      <c r="U14" s="632">
        <f t="shared" si="1"/>
        <v>100</v>
      </c>
      <c r="V14" s="631" t="s">
        <v>25</v>
      </c>
      <c r="W14" s="632">
        <f t="shared" si="2"/>
        <v>100</v>
      </c>
      <c r="X14" s="1304"/>
      <c r="Y14" s="3613" t="s">
        <v>2213</v>
      </c>
      <c r="Z14" s="1305" t="str">
        <f t="shared" si="7"/>
        <v>交通便捷度</v>
      </c>
      <c r="AA14" s="1306">
        <f t="shared" si="3"/>
        <v>1</v>
      </c>
      <c r="AB14" s="1306">
        <f t="shared" si="4"/>
        <v>1</v>
      </c>
      <c r="AC14" s="1306">
        <f t="shared" si="5"/>
        <v>1</v>
      </c>
    </row>
    <row r="15" spans="1:29" ht="15">
      <c r="A15" s="297"/>
      <c r="B15" s="529"/>
      <c r="C15" s="1114"/>
      <c r="D15" s="1108"/>
      <c r="E15" s="335"/>
      <c r="F15" s="336"/>
      <c r="G15" s="1105"/>
      <c r="H15" s="339"/>
      <c r="I15" s="335"/>
      <c r="J15" s="336"/>
      <c r="K15" s="501"/>
      <c r="L15" s="3002"/>
      <c r="M15" s="2993"/>
      <c r="N15" s="2993"/>
      <c r="O15" s="3001"/>
      <c r="P15" s="3614"/>
      <c r="Q15" s="1303"/>
      <c r="R15" s="631"/>
      <c r="S15" s="632"/>
      <c r="T15" s="631"/>
      <c r="U15" s="632"/>
      <c r="V15" s="631"/>
      <c r="W15" s="632"/>
      <c r="X15" s="1304"/>
      <c r="Y15" s="3614"/>
      <c r="Z15" s="1305"/>
      <c r="AA15" s="1306">
        <v>1</v>
      </c>
      <c r="AB15" s="1306">
        <v>1</v>
      </c>
      <c r="AC15" s="1306">
        <v>1</v>
      </c>
    </row>
    <row r="16" spans="1:29" ht="42.75">
      <c r="A16" s="297"/>
      <c r="B16" s="513" t="s">
        <v>2328</v>
      </c>
      <c r="C16" s="1115" t="str">
        <f>IF(B1="工业",估价对象房地状况!G5,估价对象房地状况!C7)</f>
        <v>估价对象所在区域公共配套设施齐备情况</v>
      </c>
      <c r="D16" s="1109">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14"/>
      <c r="Q16" s="1303" t="str">
        <f>B16</f>
        <v>公共配套设施</v>
      </c>
      <c r="R16" s="631" t="s">
        <v>25</v>
      </c>
      <c r="S16" s="632">
        <f>F16</f>
        <v>100</v>
      </c>
      <c r="T16" s="631" t="s">
        <v>25</v>
      </c>
      <c r="U16" s="632">
        <f>H16</f>
        <v>100</v>
      </c>
      <c r="V16" s="631" t="s">
        <v>25</v>
      </c>
      <c r="W16" s="632">
        <f>J16</f>
        <v>100</v>
      </c>
      <c r="X16" s="1304"/>
      <c r="Y16" s="3614"/>
      <c r="Z16" s="1305" t="str">
        <f>Q16</f>
        <v>公共配套设施</v>
      </c>
      <c r="AA16" s="1306">
        <f t="shared" si="3"/>
        <v>1</v>
      </c>
      <c r="AB16" s="1306">
        <f t="shared" si="4"/>
        <v>1</v>
      </c>
      <c r="AC16" s="1306">
        <f t="shared" si="5"/>
        <v>1</v>
      </c>
    </row>
    <row r="17" spans="1:29" ht="15">
      <c r="A17" s="297"/>
      <c r="B17" s="514"/>
      <c r="C17" s="1103"/>
      <c r="D17" s="1109"/>
      <c r="E17" s="337"/>
      <c r="F17" s="339"/>
      <c r="G17" s="337"/>
      <c r="H17" s="336"/>
      <c r="I17" s="337"/>
      <c r="J17" s="336"/>
      <c r="K17" s="501"/>
      <c r="L17" s="3002"/>
      <c r="M17" s="2993"/>
      <c r="N17" s="2993"/>
      <c r="O17" s="3001"/>
      <c r="P17" s="3614"/>
      <c r="Q17" s="1303"/>
      <c r="R17" s="631"/>
      <c r="S17" s="632"/>
      <c r="T17" s="631"/>
      <c r="U17" s="632"/>
      <c r="V17" s="631"/>
      <c r="W17" s="632"/>
      <c r="X17" s="1304"/>
      <c r="Y17" s="3614"/>
      <c r="Z17" s="1305"/>
      <c r="AA17" s="1306">
        <v>1</v>
      </c>
      <c r="AB17" s="1306">
        <v>1</v>
      </c>
      <c r="AC17" s="1306">
        <v>1</v>
      </c>
    </row>
    <row r="18" spans="1:29" ht="28.5">
      <c r="A18" s="297"/>
      <c r="B18" s="515" t="s">
        <v>2329</v>
      </c>
      <c r="C18" s="1115" t="str">
        <f>IF(B1="工业",估价对象房地状况!G6,估价对象房地状况!C8)</f>
        <v>估价对象所在区域基础设施水平</v>
      </c>
      <c r="D18" s="1109">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14"/>
      <c r="Q18" s="1303" t="str">
        <f>B18</f>
        <v>基础设施水平</v>
      </c>
      <c r="R18" s="631" t="s">
        <v>25</v>
      </c>
      <c r="S18" s="632">
        <f>F18</f>
        <v>100</v>
      </c>
      <c r="T18" s="631" t="s">
        <v>25</v>
      </c>
      <c r="U18" s="632">
        <f>H18</f>
        <v>100</v>
      </c>
      <c r="V18" s="631" t="s">
        <v>25</v>
      </c>
      <c r="W18" s="632">
        <f>J18</f>
        <v>100</v>
      </c>
      <c r="X18" s="1304"/>
      <c r="Y18" s="3614"/>
      <c r="Z18" s="1305" t="str">
        <f>Q18</f>
        <v>基础设施水平</v>
      </c>
      <c r="AA18" s="1306">
        <f t="shared" ref="AA18" si="8">D18/F18</f>
        <v>1</v>
      </c>
      <c r="AB18" s="1306">
        <f t="shared" ref="AB18" si="9">D18/H18</f>
        <v>1</v>
      </c>
      <c r="AC18" s="1306">
        <f t="shared" ref="AC18" si="10">D18/J18</f>
        <v>1</v>
      </c>
    </row>
    <row r="19" spans="1:29" ht="15">
      <c r="A19" s="297"/>
      <c r="B19" s="515"/>
      <c r="C19" s="1104"/>
      <c r="D19" s="1109"/>
      <c r="E19" s="1101"/>
      <c r="F19" s="339"/>
      <c r="G19" s="1101"/>
      <c r="H19" s="336"/>
      <c r="I19" s="337"/>
      <c r="J19" s="336"/>
      <c r="K19" s="1102"/>
      <c r="L19" s="3002"/>
      <c r="M19" s="2993"/>
      <c r="N19" s="2993"/>
      <c r="O19" s="3001"/>
      <c r="P19" s="3614"/>
      <c r="Q19" s="1303"/>
      <c r="R19" s="631"/>
      <c r="S19" s="632"/>
      <c r="T19" s="631"/>
      <c r="U19" s="632"/>
      <c r="V19" s="631"/>
      <c r="W19" s="632"/>
      <c r="X19" s="1304"/>
      <c r="Y19" s="3614"/>
      <c r="Z19" s="1305"/>
      <c r="AA19" s="1306">
        <v>1</v>
      </c>
      <c r="AB19" s="1306">
        <v>1</v>
      </c>
      <c r="AC19" s="1306">
        <v>1</v>
      </c>
    </row>
    <row r="20" spans="1:29" ht="57">
      <c r="A20" s="297"/>
      <c r="B20" s="513" t="s">
        <v>2351</v>
      </c>
      <c r="C20" s="1115" t="str">
        <f>IF(B1="工业",估价对象房地状况!G7,估价对象房地状况!C9)</f>
        <v>区域自然环境：；人文环境；综合评价环境状况一般</v>
      </c>
      <c r="D20" s="1110">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14"/>
      <c r="Q20" s="1303" t="str">
        <f>B20</f>
        <v>自然及人文环境</v>
      </c>
      <c r="R20" s="631" t="s">
        <v>25</v>
      </c>
      <c r="S20" s="632">
        <f>F20</f>
        <v>100</v>
      </c>
      <c r="T20" s="631" t="s">
        <v>25</v>
      </c>
      <c r="U20" s="632">
        <f>H20</f>
        <v>100</v>
      </c>
      <c r="V20" s="631" t="s">
        <v>25</v>
      </c>
      <c r="W20" s="632">
        <f>J20</f>
        <v>100</v>
      </c>
      <c r="X20" s="1304"/>
      <c r="Y20" s="3614"/>
      <c r="Z20" s="1305" t="str">
        <f>Q20</f>
        <v>自然及人文环境</v>
      </c>
      <c r="AA20" s="1306">
        <f t="shared" si="3"/>
        <v>1</v>
      </c>
      <c r="AB20" s="1306">
        <f t="shared" si="4"/>
        <v>1</v>
      </c>
      <c r="AC20" s="1306">
        <f t="shared" si="5"/>
        <v>1</v>
      </c>
    </row>
    <row r="21" spans="1:29" ht="15">
      <c r="A21" s="297"/>
      <c r="B21" s="514"/>
      <c r="C21" s="1114"/>
      <c r="D21" s="1108"/>
      <c r="E21" s="335"/>
      <c r="F21" s="336"/>
      <c r="G21" s="1105"/>
      <c r="H21" s="336"/>
      <c r="I21" s="335"/>
      <c r="J21" s="336"/>
      <c r="K21" s="501"/>
      <c r="L21" s="3002"/>
      <c r="M21" s="2993"/>
      <c r="N21" s="2993"/>
      <c r="O21" s="3001"/>
      <c r="P21" s="3614"/>
      <c r="Q21" s="1303"/>
      <c r="R21" s="631"/>
      <c r="S21" s="632"/>
      <c r="T21" s="631"/>
      <c r="U21" s="632"/>
      <c r="V21" s="631"/>
      <c r="W21" s="632"/>
      <c r="X21" s="1304"/>
      <c r="Y21" s="3614"/>
      <c r="Z21" s="1305"/>
      <c r="AA21" s="1306">
        <v>1</v>
      </c>
      <c r="AB21" s="1306">
        <v>1</v>
      </c>
      <c r="AC21" s="1306">
        <v>1</v>
      </c>
    </row>
    <row r="22" spans="1:29" ht="15">
      <c r="A22" s="297"/>
      <c r="B22" s="513" t="s">
        <v>2352</v>
      </c>
      <c r="C22" s="516"/>
      <c r="D22" s="1109">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14"/>
      <c r="Q22" s="1303" t="str">
        <f>B22</f>
        <v>楼层</v>
      </c>
      <c r="R22" s="631" t="s">
        <v>25</v>
      </c>
      <c r="S22" s="632">
        <f>F22</f>
        <v>100</v>
      </c>
      <c r="T22" s="631" t="s">
        <v>25</v>
      </c>
      <c r="U22" s="632">
        <f>H22</f>
        <v>100</v>
      </c>
      <c r="V22" s="631" t="s">
        <v>25</v>
      </c>
      <c r="W22" s="632">
        <f>J22</f>
        <v>100</v>
      </c>
      <c r="X22" s="1304"/>
      <c r="Y22" s="3614"/>
      <c r="Z22" s="1305" t="str">
        <f>Q22</f>
        <v>楼层</v>
      </c>
      <c r="AA22" s="1306">
        <f t="shared" si="3"/>
        <v>1</v>
      </c>
      <c r="AB22" s="1306">
        <f t="shared" si="4"/>
        <v>1</v>
      </c>
      <c r="AC22" s="1306">
        <f t="shared" si="5"/>
        <v>1</v>
      </c>
    </row>
    <row r="23" spans="1:29" ht="15">
      <c r="A23" s="297"/>
      <c r="B23" s="530">
        <v>111</v>
      </c>
      <c r="C23" s="1116"/>
      <c r="D23" s="1111">
        <v>100</v>
      </c>
      <c r="E23" s="322"/>
      <c r="F23" s="325">
        <f>SUMIF(73:73,E23,74:74)-SUMIF(73:73,C23,74:74)+100</f>
        <v>100</v>
      </c>
      <c r="G23" s="1106"/>
      <c r="H23" s="325">
        <f>SUMIF(73:73,G23,74:74)-SUMIF(73:73,C23,74:74)+100</f>
        <v>100</v>
      </c>
      <c r="I23" s="322"/>
      <c r="J23" s="325">
        <f>SUMIF(73:73,I23,74:74)-SUMIF(73:73,C23,74:74)+100</f>
        <v>100</v>
      </c>
      <c r="K23" s="499"/>
      <c r="L23" s="3002"/>
      <c r="M23" s="2993"/>
      <c r="N23" s="2993"/>
      <c r="O23" s="3001"/>
      <c r="P23" s="3614"/>
      <c r="Q23" s="1303">
        <f>B23</f>
        <v>111</v>
      </c>
      <c r="R23" s="631" t="s">
        <v>25</v>
      </c>
      <c r="S23" s="632">
        <f>F23</f>
        <v>100</v>
      </c>
      <c r="T23" s="631" t="s">
        <v>25</v>
      </c>
      <c r="U23" s="632">
        <f>H23</f>
        <v>100</v>
      </c>
      <c r="V23" s="631" t="s">
        <v>25</v>
      </c>
      <c r="W23" s="632">
        <f>J23</f>
        <v>100</v>
      </c>
      <c r="X23" s="1304"/>
      <c r="Y23" s="3614"/>
      <c r="Z23" s="1305">
        <f>Q23</f>
        <v>111</v>
      </c>
      <c r="AA23" s="1306">
        <f t="shared" si="3"/>
        <v>1</v>
      </c>
      <c r="AB23" s="1306">
        <f t="shared" si="4"/>
        <v>1</v>
      </c>
      <c r="AC23" s="1306">
        <f t="shared" si="5"/>
        <v>1</v>
      </c>
    </row>
    <row r="24" spans="1:29" ht="15">
      <c r="A24" s="297"/>
      <c r="B24" s="530">
        <v>111</v>
      </c>
      <c r="C24" s="1116"/>
      <c r="D24" s="1111">
        <v>100</v>
      </c>
      <c r="E24" s="322"/>
      <c r="F24" s="325">
        <f>SUMIF(75:75,E24,76:76)-SUMIF(75:75,C24,76:76)+100</f>
        <v>100</v>
      </c>
      <c r="G24" s="1106"/>
      <c r="H24" s="325">
        <f>SUMIF(75:75,G24,76:76)-SUMIF(75:75,C24,76:76)+100</f>
        <v>100</v>
      </c>
      <c r="I24" s="322"/>
      <c r="J24" s="325">
        <f>SUMIF(75:75,I24,76:76)-SUMIF(75:75,C24,76:76)+100</f>
        <v>100</v>
      </c>
      <c r="K24" s="499"/>
      <c r="L24" s="3002"/>
      <c r="M24" s="2993"/>
      <c r="N24" s="2993"/>
      <c r="O24" s="3001"/>
      <c r="P24" s="3614"/>
      <c r="Q24" s="1303">
        <f t="shared" ref="Q24:Q36" si="11">B24</f>
        <v>111</v>
      </c>
      <c r="R24" s="631" t="s">
        <v>25</v>
      </c>
      <c r="S24" s="632">
        <f>F24</f>
        <v>100</v>
      </c>
      <c r="T24" s="631" t="s">
        <v>25</v>
      </c>
      <c r="U24" s="632">
        <f>H24</f>
        <v>100</v>
      </c>
      <c r="V24" s="631" t="s">
        <v>25</v>
      </c>
      <c r="W24" s="632">
        <f>J24</f>
        <v>100</v>
      </c>
      <c r="X24" s="1304"/>
      <c r="Y24" s="3614"/>
      <c r="Z24" s="1305">
        <f>Q24</f>
        <v>111</v>
      </c>
      <c r="AA24" s="1306">
        <f t="shared" si="3"/>
        <v>1</v>
      </c>
      <c r="AB24" s="1306">
        <f t="shared" si="4"/>
        <v>1</v>
      </c>
      <c r="AC24" s="1306">
        <f t="shared" si="5"/>
        <v>1</v>
      </c>
    </row>
    <row r="25" spans="1:29" s="25" customFormat="1" ht="15.75" thickBot="1">
      <c r="A25" s="1118"/>
      <c r="B25" s="517">
        <v>111</v>
      </c>
      <c r="C25" s="1117"/>
      <c r="D25" s="1112">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14"/>
      <c r="Q25" s="1296">
        <f t="shared" si="11"/>
        <v>111</v>
      </c>
      <c r="R25" s="627" t="s">
        <v>25</v>
      </c>
      <c r="S25" s="628">
        <f>F25</f>
        <v>100</v>
      </c>
      <c r="T25" s="627" t="s">
        <v>25</v>
      </c>
      <c r="U25" s="628">
        <f>H25</f>
        <v>100</v>
      </c>
      <c r="V25" s="627" t="s">
        <v>25</v>
      </c>
      <c r="W25" s="628">
        <f>J25</f>
        <v>100</v>
      </c>
      <c r="X25" s="629"/>
      <c r="Y25" s="3614"/>
      <c r="Z25" s="19">
        <f>Q25</f>
        <v>111</v>
      </c>
      <c r="AA25" s="1306">
        <f>D25/F25</f>
        <v>1</v>
      </c>
      <c r="AB25" s="1306">
        <f>D25/H25</f>
        <v>1</v>
      </c>
      <c r="AC25" s="1306">
        <f>D25/J25</f>
        <v>1</v>
      </c>
    </row>
    <row r="26" spans="1:29" ht="28.5">
      <c r="A26" s="533" t="s">
        <v>2217</v>
      </c>
      <c r="B26" s="23" t="s">
        <v>2353</v>
      </c>
      <c r="C26" s="1552"/>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16" t="s">
        <v>2219</v>
      </c>
      <c r="Q26" s="1303" t="str">
        <f t="shared" si="11"/>
        <v>配套类型</v>
      </c>
      <c r="R26" s="631" t="s">
        <v>25</v>
      </c>
      <c r="S26" s="632">
        <f t="shared" ref="S26:S36" si="12">F26</f>
        <v>100</v>
      </c>
      <c r="T26" s="631" t="s">
        <v>25</v>
      </c>
      <c r="U26" s="632">
        <f t="shared" ref="U26:U36" si="13">H26</f>
        <v>100</v>
      </c>
      <c r="V26" s="631" t="s">
        <v>25</v>
      </c>
      <c r="W26" s="632">
        <f t="shared" ref="W26:W36" si="14">J26</f>
        <v>100</v>
      </c>
      <c r="X26" s="1304"/>
      <c r="Y26" s="3617" t="s">
        <v>2219</v>
      </c>
      <c r="Z26" s="1305" t="str">
        <f t="shared" ref="Z26:Z36" si="15">Q26</f>
        <v>配套类型</v>
      </c>
      <c r="AA26" s="1306">
        <f t="shared" si="3"/>
        <v>1</v>
      </c>
      <c r="AB26" s="1306">
        <f t="shared" si="4"/>
        <v>1</v>
      </c>
      <c r="AC26" s="1306">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17"/>
      <c r="Q27" s="633" t="str">
        <f t="shared" si="11"/>
        <v>项目停车位配比</v>
      </c>
      <c r="R27" s="634" t="s">
        <v>25</v>
      </c>
      <c r="S27" s="635">
        <f t="shared" si="12"/>
        <v>100</v>
      </c>
      <c r="T27" s="634" t="s">
        <v>25</v>
      </c>
      <c r="U27" s="635">
        <f t="shared" si="13"/>
        <v>100</v>
      </c>
      <c r="V27" s="634" t="s">
        <v>25</v>
      </c>
      <c r="W27" s="635">
        <f t="shared" si="14"/>
        <v>100</v>
      </c>
      <c r="X27" s="636"/>
      <c r="Y27" s="3617"/>
      <c r="Z27" s="637" t="str">
        <f t="shared" si="15"/>
        <v>项目停车位配比</v>
      </c>
      <c r="AA27" s="1306">
        <f t="shared" si="3"/>
        <v>1</v>
      </c>
      <c r="AB27" s="1306">
        <f t="shared" si="4"/>
        <v>1</v>
      </c>
      <c r="AC27" s="1306">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17"/>
      <c r="Q28" s="1303" t="str">
        <f t="shared" si="11"/>
        <v>公共部分装修</v>
      </c>
      <c r="R28" s="631" t="s">
        <v>25</v>
      </c>
      <c r="S28" s="632">
        <f t="shared" si="12"/>
        <v>100</v>
      </c>
      <c r="T28" s="631" t="s">
        <v>25</v>
      </c>
      <c r="U28" s="632">
        <f t="shared" si="13"/>
        <v>100</v>
      </c>
      <c r="V28" s="631" t="s">
        <v>25</v>
      </c>
      <c r="W28" s="632">
        <f t="shared" si="14"/>
        <v>100</v>
      </c>
      <c r="X28" s="1304"/>
      <c r="Y28" s="3617"/>
      <c r="Z28" s="1305" t="str">
        <f t="shared" si="15"/>
        <v>公共部分装修</v>
      </c>
      <c r="AA28" s="1306">
        <f t="shared" si="3"/>
        <v>1</v>
      </c>
      <c r="AB28" s="1306">
        <f t="shared" si="4"/>
        <v>1</v>
      </c>
      <c r="AC28" s="1306">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17"/>
      <c r="Q29" s="1303" t="str">
        <f t="shared" si="11"/>
        <v>成新率</v>
      </c>
      <c r="R29" s="631" t="s">
        <v>25</v>
      </c>
      <c r="S29" s="632" t="e">
        <f t="shared" si="12"/>
        <v>#N/A</v>
      </c>
      <c r="T29" s="631" t="s">
        <v>25</v>
      </c>
      <c r="U29" s="632" t="e">
        <f t="shared" si="13"/>
        <v>#N/A</v>
      </c>
      <c r="V29" s="631" t="s">
        <v>25</v>
      </c>
      <c r="W29" s="632" t="e">
        <f t="shared" si="14"/>
        <v>#N/A</v>
      </c>
      <c r="X29" s="1304"/>
      <c r="Y29" s="3617"/>
      <c r="Z29" s="1305" t="str">
        <f t="shared" si="15"/>
        <v>成新率</v>
      </c>
      <c r="AA29" s="1306" t="e">
        <f t="shared" si="3"/>
        <v>#N/A</v>
      </c>
      <c r="AB29" s="1306" t="e">
        <f t="shared" si="4"/>
        <v>#N/A</v>
      </c>
      <c r="AC29" s="1306"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17"/>
      <c r="Q30" s="1303" t="str">
        <f t="shared" si="11"/>
        <v>物业等级</v>
      </c>
      <c r="R30" s="631" t="s">
        <v>25</v>
      </c>
      <c r="S30" s="632">
        <f t="shared" si="12"/>
        <v>100</v>
      </c>
      <c r="T30" s="631" t="s">
        <v>25</v>
      </c>
      <c r="U30" s="632">
        <f t="shared" si="13"/>
        <v>100</v>
      </c>
      <c r="V30" s="631" t="s">
        <v>25</v>
      </c>
      <c r="W30" s="632">
        <f t="shared" si="14"/>
        <v>100</v>
      </c>
      <c r="X30" s="1304"/>
      <c r="Y30" s="3617"/>
      <c r="Z30" s="1305" t="str">
        <f t="shared" si="15"/>
        <v>物业等级</v>
      </c>
      <c r="AA30" s="1306">
        <f t="shared" si="3"/>
        <v>1</v>
      </c>
      <c r="AB30" s="1306">
        <f t="shared" si="4"/>
        <v>1</v>
      </c>
      <c r="AC30" s="1306">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17"/>
      <c r="Q31" s="1296" t="str">
        <f t="shared" si="11"/>
        <v>停车位面积</v>
      </c>
      <c r="R31" s="627" t="s">
        <v>25</v>
      </c>
      <c r="S31" s="628" t="e">
        <f t="shared" si="12"/>
        <v>#N/A</v>
      </c>
      <c r="T31" s="627" t="s">
        <v>25</v>
      </c>
      <c r="U31" s="628" t="e">
        <f t="shared" si="13"/>
        <v>#N/A</v>
      </c>
      <c r="V31" s="627" t="s">
        <v>25</v>
      </c>
      <c r="W31" s="628" t="e">
        <f t="shared" si="14"/>
        <v>#N/A</v>
      </c>
      <c r="X31" s="629"/>
      <c r="Y31" s="3617"/>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17" t="s">
        <v>2219</v>
      </c>
      <c r="Q32" s="1303" t="str">
        <f t="shared" si="11"/>
        <v>车位类型</v>
      </c>
      <c r="R32" s="631" t="s">
        <v>25</v>
      </c>
      <c r="S32" s="632">
        <f t="shared" si="12"/>
        <v>100</v>
      </c>
      <c r="T32" s="631" t="s">
        <v>25</v>
      </c>
      <c r="U32" s="632">
        <f t="shared" si="13"/>
        <v>100</v>
      </c>
      <c r="V32" s="631" t="s">
        <v>25</v>
      </c>
      <c r="W32" s="632">
        <f t="shared" si="14"/>
        <v>100</v>
      </c>
      <c r="X32" s="1304"/>
      <c r="Y32" s="3617" t="s">
        <v>2219</v>
      </c>
      <c r="Z32" s="1305" t="str">
        <f t="shared" si="15"/>
        <v>车位类型</v>
      </c>
      <c r="AA32" s="1306">
        <f t="shared" si="3"/>
        <v>1</v>
      </c>
      <c r="AB32" s="1306">
        <f t="shared" si="4"/>
        <v>1</v>
      </c>
      <c r="AC32" s="1306">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17"/>
      <c r="Q33" s="1303" t="str">
        <f t="shared" si="11"/>
        <v>是否直接入户</v>
      </c>
      <c r="R33" s="631" t="s">
        <v>25</v>
      </c>
      <c r="S33" s="632">
        <f t="shared" si="12"/>
        <v>100</v>
      </c>
      <c r="T33" s="631" t="s">
        <v>25</v>
      </c>
      <c r="U33" s="632">
        <f t="shared" si="13"/>
        <v>100</v>
      </c>
      <c r="V33" s="631" t="s">
        <v>25</v>
      </c>
      <c r="W33" s="632">
        <f t="shared" si="14"/>
        <v>100</v>
      </c>
      <c r="X33" s="1304"/>
      <c r="Y33" s="3617"/>
      <c r="Z33" s="1305" t="str">
        <f t="shared" si="15"/>
        <v>是否直接入户</v>
      </c>
      <c r="AA33" s="1306">
        <f t="shared" si="3"/>
        <v>1</v>
      </c>
      <c r="AB33" s="1306">
        <f t="shared" si="4"/>
        <v>1</v>
      </c>
      <c r="AC33" s="130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17"/>
      <c r="Q34" s="1303">
        <f t="shared" si="11"/>
        <v>111</v>
      </c>
      <c r="R34" s="631" t="s">
        <v>25</v>
      </c>
      <c r="S34" s="632">
        <f t="shared" si="12"/>
        <v>100</v>
      </c>
      <c r="T34" s="631" t="s">
        <v>25</v>
      </c>
      <c r="U34" s="632">
        <f t="shared" si="13"/>
        <v>100</v>
      </c>
      <c r="V34" s="631" t="s">
        <v>25</v>
      </c>
      <c r="W34" s="632">
        <f t="shared" si="14"/>
        <v>100</v>
      </c>
      <c r="X34" s="1304"/>
      <c r="Y34" s="3617"/>
      <c r="Z34" s="1305">
        <f t="shared" si="15"/>
        <v>111</v>
      </c>
      <c r="AA34" s="1306">
        <f t="shared" si="3"/>
        <v>1</v>
      </c>
      <c r="AB34" s="1306">
        <f t="shared" si="4"/>
        <v>1</v>
      </c>
      <c r="AC34" s="130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17"/>
      <c r="Q35" s="633">
        <f t="shared" si="11"/>
        <v>111</v>
      </c>
      <c r="R35" s="634" t="s">
        <v>25</v>
      </c>
      <c r="S35" s="635">
        <f t="shared" si="12"/>
        <v>100</v>
      </c>
      <c r="T35" s="634" t="s">
        <v>25</v>
      </c>
      <c r="U35" s="635">
        <f t="shared" si="13"/>
        <v>100</v>
      </c>
      <c r="V35" s="634" t="s">
        <v>25</v>
      </c>
      <c r="W35" s="635">
        <f t="shared" si="14"/>
        <v>100</v>
      </c>
      <c r="X35" s="636"/>
      <c r="Y35" s="3617"/>
      <c r="Z35" s="637">
        <f t="shared" si="15"/>
        <v>111</v>
      </c>
      <c r="AA35" s="1306">
        <f t="shared" si="3"/>
        <v>1</v>
      </c>
      <c r="AB35" s="1306">
        <f t="shared" si="4"/>
        <v>1</v>
      </c>
      <c r="AC35" s="130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17"/>
      <c r="Q36" s="1303">
        <f t="shared" si="11"/>
        <v>111</v>
      </c>
      <c r="R36" s="631" t="s">
        <v>25</v>
      </c>
      <c r="S36" s="632">
        <f t="shared" si="12"/>
        <v>100</v>
      </c>
      <c r="T36" s="631" t="s">
        <v>25</v>
      </c>
      <c r="U36" s="632">
        <f t="shared" si="13"/>
        <v>100</v>
      </c>
      <c r="V36" s="631" t="s">
        <v>25</v>
      </c>
      <c r="W36" s="632">
        <f t="shared" si="14"/>
        <v>100</v>
      </c>
      <c r="X36" s="1304"/>
      <c r="Y36" s="3617"/>
      <c r="Z36" s="1305">
        <f t="shared" si="15"/>
        <v>111</v>
      </c>
      <c r="AA36" s="1306">
        <f t="shared" si="3"/>
        <v>1</v>
      </c>
      <c r="AB36" s="1306">
        <f t="shared" si="4"/>
        <v>1</v>
      </c>
      <c r="AC36" s="1306">
        <f t="shared" si="5"/>
        <v>1</v>
      </c>
    </row>
    <row r="37" spans="1:29" ht="15">
      <c r="A37" s="367" t="s">
        <v>2361</v>
      </c>
      <c r="B37" s="840" t="s">
        <v>2362</v>
      </c>
      <c r="C37" s="1123" t="s">
        <v>1</v>
      </c>
      <c r="D37" s="1124"/>
      <c r="E37" s="1125"/>
      <c r="F37" s="1126"/>
      <c r="G37" s="1127"/>
      <c r="H37" s="1128"/>
      <c r="I37" s="1125"/>
      <c r="J37" s="1128"/>
      <c r="K37" s="503"/>
      <c r="L37" s="3004"/>
      <c r="N37" s="2993"/>
      <c r="P37" s="3585" t="str">
        <f>A37</f>
        <v>成交单价</v>
      </c>
      <c r="Q37" s="3585"/>
      <c r="R37" s="3619">
        <f>E37</f>
        <v>0</v>
      </c>
      <c r="S37" s="3619"/>
      <c r="T37" s="3619">
        <f>G37</f>
        <v>0</v>
      </c>
      <c r="U37" s="3619"/>
      <c r="V37" s="3619">
        <f>I37</f>
        <v>0</v>
      </c>
      <c r="W37" s="3619"/>
      <c r="X37" s="618"/>
      <c r="Y37" s="638"/>
      <c r="Z37" s="618"/>
      <c r="AA37" s="618"/>
      <c r="AB37" s="618"/>
      <c r="AC37" s="618"/>
    </row>
    <row r="38" spans="1:29" ht="15.75" thickBot="1">
      <c r="A38" s="374" t="s">
        <v>2363</v>
      </c>
      <c r="B38" s="375" t="str">
        <f>B37</f>
        <v>元/平方米</v>
      </c>
      <c r="C38" s="1129" t="e">
        <f>R39</f>
        <v>#DIV/0!</v>
      </c>
      <c r="D38" s="1766" t="s">
        <v>2688</v>
      </c>
      <c r="E38" s="1130" t="e">
        <f>R38</f>
        <v>#DIV/0!</v>
      </c>
      <c r="F38" s="1768"/>
      <c r="G38" s="1129" t="e">
        <f>T38</f>
        <v>#DIV/0!</v>
      </c>
      <c r="H38" s="1768"/>
      <c r="I38" s="1130" t="e">
        <f>V38</f>
        <v>#DIV/0!</v>
      </c>
      <c r="J38" s="1768"/>
      <c r="K38" s="2480">
        <f>F38+H38+J38</f>
        <v>0</v>
      </c>
      <c r="L38" s="3004"/>
      <c r="P38" s="3585" t="str">
        <f>A38</f>
        <v>比较价值</v>
      </c>
      <c r="Q38" s="3585"/>
      <c r="R38" s="3619" t="e">
        <f>IF(E1="售价",ROUND(PRODUCT(R37,AA7:AA36),0),ROUND(PRODUCT(R37,AA7:AA36),1))</f>
        <v>#DIV/0!</v>
      </c>
      <c r="S38" s="3619"/>
      <c r="T38" s="3619" t="e">
        <f>IF(E1="售价",ROUND(PRODUCT(T37,AB7:AB36),0),ROUND(PRODUCT(T37,AB7:AB36),1))</f>
        <v>#DIV/0!</v>
      </c>
      <c r="U38" s="3619"/>
      <c r="V38" s="3619" t="e">
        <f>IF(E1="售价",ROUND(PRODUCT(V37,AC7:AC36),0),ROUND(PRODUCT(V37,AC7:AC36),1))</f>
        <v>#DIV/0!</v>
      </c>
      <c r="W38" s="3619"/>
      <c r="X38" s="618"/>
      <c r="Y38" s="618"/>
      <c r="Z38" s="618"/>
      <c r="AA38" s="618"/>
      <c r="AB38" s="618"/>
      <c r="AC38" s="618"/>
    </row>
    <row r="39" spans="1:29" ht="15.75" thickBot="1">
      <c r="A39" s="378" t="s">
        <v>2364</v>
      </c>
      <c r="B39" s="379"/>
      <c r="C39" s="1131" t="e">
        <f>R39</f>
        <v>#DIV/0!</v>
      </c>
      <c r="D39" s="1131"/>
      <c r="E39" s="1131"/>
      <c r="F39" s="1131"/>
      <c r="G39" s="1131"/>
      <c r="H39" s="1131"/>
      <c r="I39" s="1131"/>
      <c r="J39" s="1131"/>
      <c r="K39" s="504"/>
      <c r="L39" s="3004"/>
      <c r="P39" s="3620" t="str">
        <f>A39</f>
        <v>估价对象XX用房的比较价值（楼面单价，元/平方米）</v>
      </c>
      <c r="Q39" s="3621"/>
      <c r="R39" s="3622" t="e">
        <f>IF(E1="售价",ROUND(IF(D38="简单平均",AVERAGE(R38:W38),R38*F38+T38*H38+V38*J38),0),ROUND(IF(D38="简单平均",AVERAGE(R38:V38),R38*F38+T38*H38+V38*J38),1))</f>
        <v>#DIV/0!</v>
      </c>
      <c r="S39" s="3622"/>
      <c r="T39" s="3622"/>
      <c r="U39" s="3622"/>
      <c r="V39" s="3622"/>
      <c r="W39" s="3622"/>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3" t="s">
        <v>2368</v>
      </c>
      <c r="B47" s="955"/>
      <c r="C47" s="963"/>
      <c r="D47" s="963"/>
      <c r="E47" s="963"/>
      <c r="F47" s="1134"/>
      <c r="G47" s="1134"/>
      <c r="H47" s="963"/>
      <c r="I47" s="963"/>
      <c r="J47" s="963"/>
      <c r="K47" s="961"/>
      <c r="L47" s="624"/>
      <c r="M47" s="621"/>
      <c r="N47" s="621"/>
      <c r="O47" s="621"/>
      <c r="P47" s="621"/>
      <c r="Q47" s="1132"/>
      <c r="R47" s="618"/>
      <c r="S47" s="618"/>
      <c r="T47" s="618"/>
      <c r="U47" s="618"/>
      <c r="V47" s="618"/>
      <c r="W47" s="618"/>
      <c r="X47" s="618"/>
      <c r="Y47" s="618"/>
      <c r="Z47" s="618"/>
      <c r="AA47" s="618"/>
      <c r="AB47" s="618"/>
      <c r="AC47" s="618"/>
    </row>
    <row r="48" spans="1:29" s="394" customFormat="1" ht="15">
      <c r="A48" s="391" t="s">
        <v>2369</v>
      </c>
      <c r="B48" s="392"/>
      <c r="C48" s="1157" t="str">
        <f>YEAR(C7)&amp;"-"&amp;MONTH(C7)</f>
        <v>2021-12</v>
      </c>
      <c r="D48" s="1158">
        <f>EDATE(C48,-1)</f>
        <v>44501</v>
      </c>
      <c r="E48" s="1158">
        <f t="shared" ref="E48:O48" si="16">EDATE(D48,-1)</f>
        <v>44470</v>
      </c>
      <c r="F48" s="1158">
        <f t="shared" si="16"/>
        <v>44440</v>
      </c>
      <c r="G48" s="1158">
        <f t="shared" si="16"/>
        <v>44409</v>
      </c>
      <c r="H48" s="1158">
        <f t="shared" si="16"/>
        <v>44378</v>
      </c>
      <c r="I48" s="1158">
        <f t="shared" si="16"/>
        <v>44348</v>
      </c>
      <c r="J48" s="1158">
        <f t="shared" si="16"/>
        <v>44317</v>
      </c>
      <c r="K48" s="1158">
        <f t="shared" si="16"/>
        <v>44287</v>
      </c>
      <c r="L48" s="1158">
        <f t="shared" si="16"/>
        <v>44256</v>
      </c>
      <c r="M48" s="1158">
        <f t="shared" si="16"/>
        <v>44228</v>
      </c>
      <c r="N48" s="1158">
        <f t="shared" si="16"/>
        <v>44197</v>
      </c>
      <c r="O48" s="1158">
        <f t="shared" si="16"/>
        <v>44166</v>
      </c>
      <c r="P48" s="393"/>
    </row>
    <row r="49" spans="1:17" s="25" customFormat="1" ht="15">
      <c r="A49" s="395"/>
      <c r="B49" s="396"/>
      <c r="C49" s="1156">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2348</v>
      </c>
      <c r="B1" s="1551"/>
      <c r="C1" s="1191"/>
      <c r="D1" s="1201"/>
      <c r="E1" s="1528" t="s">
        <v>2689</v>
      </c>
      <c r="F1" s="1202" t="s">
        <v>2186</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IF(D2="——",IF(C2="元",ROUND(C37*D3,0),ROUND(C37*D3/10000,0)),IF(C2="元",ROUND(C37*D3,0),ROUND(C37*D3/10000,0))-E2)</f>
        <v>#DIV/0!</v>
      </c>
      <c r="C2" s="79" t="str">
        <f>'数据-取费表'!B3</f>
        <v>万元</v>
      </c>
      <c r="D2" s="1529"/>
      <c r="E2" s="1200" t="e">
        <f ca="1">SUMIF(INDIRECT("'"&amp;G2&amp;"'"&amp;"!A:A"),"承租人权益价值",INDIRECT("'"&amp;G2&amp;"'"&amp;"!c:c"))</f>
        <v>#REF!</v>
      </c>
      <c r="F2" s="1530" t="str">
        <f>C2</f>
        <v>万元</v>
      </c>
      <c r="G2" s="1531"/>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2187</v>
      </c>
      <c r="D3" s="292">
        <f>IF(C1="仅计算典型户型",'数据-取费表'!E5,'数据-取费表'!B5)</f>
        <v>393.43</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593" t="s">
        <v>2189</v>
      </c>
      <c r="D4" s="3594"/>
      <c r="E4" s="3595" t="s">
        <v>2190</v>
      </c>
      <c r="F4" s="3596"/>
      <c r="G4" s="3593" t="s">
        <v>2191</v>
      </c>
      <c r="H4" s="3594"/>
      <c r="I4" s="3593" t="s">
        <v>2192</v>
      </c>
      <c r="J4" s="3594"/>
      <c r="K4" s="496" t="s">
        <v>2193</v>
      </c>
      <c r="L4" s="2992"/>
      <c r="M4" s="2993"/>
      <c r="N4" s="2993"/>
      <c r="O4" s="2993"/>
      <c r="P4" s="3597" t="s">
        <v>2194</v>
      </c>
      <c r="Q4" s="3598"/>
      <c r="R4" s="3603" t="s">
        <v>2190</v>
      </c>
      <c r="S4" s="3604"/>
      <c r="T4" s="3603" t="s">
        <v>2191</v>
      </c>
      <c r="U4" s="3604"/>
      <c r="V4" s="3609" t="s">
        <v>2192</v>
      </c>
      <c r="W4" s="3609"/>
      <c r="X4" s="1304"/>
      <c r="Y4" s="3603" t="s">
        <v>2194</v>
      </c>
      <c r="Z4" s="3604"/>
      <c r="AA4" s="3590" t="s">
        <v>2190</v>
      </c>
      <c r="AB4" s="3591" t="s">
        <v>2191</v>
      </c>
      <c r="AC4" s="3590" t="s">
        <v>2192</v>
      </c>
    </row>
    <row r="5" spans="1:29" ht="15">
      <c r="A5" s="297"/>
      <c r="B5" s="298"/>
      <c r="C5" s="3586" t="s">
        <v>2195</v>
      </c>
      <c r="D5" s="3587"/>
      <c r="E5" s="3610" t="s">
        <v>2196</v>
      </c>
      <c r="F5" s="3611"/>
      <c r="G5" s="3586" t="s">
        <v>2197</v>
      </c>
      <c r="H5" s="3587"/>
      <c r="I5" s="3586" t="s">
        <v>2198</v>
      </c>
      <c r="J5" s="3587"/>
      <c r="K5" s="496"/>
      <c r="L5" s="2992"/>
      <c r="M5" s="2993"/>
      <c r="N5" s="2993"/>
      <c r="O5" s="2993"/>
      <c r="P5" s="3599"/>
      <c r="Q5" s="3600"/>
      <c r="R5" s="3605"/>
      <c r="S5" s="3606"/>
      <c r="T5" s="3605"/>
      <c r="U5" s="3606"/>
      <c r="V5" s="3609"/>
      <c r="W5" s="3609"/>
      <c r="X5" s="1304"/>
      <c r="Y5" s="3605"/>
      <c r="Z5" s="3606"/>
      <c r="AA5" s="3591"/>
      <c r="AB5" s="3591"/>
      <c r="AC5" s="3591"/>
    </row>
    <row r="6" spans="1:29" ht="15.75" thickBot="1">
      <c r="A6" s="299"/>
      <c r="B6" s="300"/>
      <c r="C6" s="3583" t="s">
        <v>2199</v>
      </c>
      <c r="D6" s="3584"/>
      <c r="E6" s="3581" t="s">
        <v>2199</v>
      </c>
      <c r="F6" s="3582"/>
      <c r="G6" s="3583" t="s">
        <v>2199</v>
      </c>
      <c r="H6" s="3584"/>
      <c r="I6" s="3583" t="s">
        <v>2199</v>
      </c>
      <c r="J6" s="3584"/>
      <c r="K6" s="496" t="s">
        <v>2200</v>
      </c>
      <c r="L6" s="2992"/>
      <c r="M6" s="2993"/>
      <c r="N6" s="2993"/>
      <c r="O6" s="2993"/>
      <c r="P6" s="3601"/>
      <c r="Q6" s="3602"/>
      <c r="R6" s="3605"/>
      <c r="S6" s="3606"/>
      <c r="T6" s="3607"/>
      <c r="U6" s="3608"/>
      <c r="V6" s="3609"/>
      <c r="W6" s="3609"/>
      <c r="X6" s="1304"/>
      <c r="Y6" s="3607"/>
      <c r="Z6" s="3608"/>
      <c r="AA6" s="3592"/>
      <c r="AB6" s="3592"/>
      <c r="AC6" s="3592"/>
    </row>
    <row r="7" spans="1:29" s="25" customFormat="1" ht="15.75" thickBot="1">
      <c r="A7" s="301" t="s">
        <v>2201</v>
      </c>
      <c r="B7" s="302"/>
      <c r="C7" s="303">
        <f>'数据-取费表'!B2</f>
        <v>44561</v>
      </c>
      <c r="D7" s="304">
        <v>100</v>
      </c>
      <c r="E7" s="1544"/>
      <c r="F7" s="304">
        <f>SUMIF(46:46,YEAR(E7)&amp;"-"&amp;MONTH(E7),47:47)</f>
        <v>0</v>
      </c>
      <c r="G7" s="305"/>
      <c r="H7" s="304">
        <f>SUMIF(46:46,YEAR(G7)&amp;"-"&amp;MONTH(G7),47:47)</f>
        <v>0</v>
      </c>
      <c r="I7" s="305"/>
      <c r="J7" s="304">
        <f>SUMIF(46:46,YEAR(I7)&amp;"-"&amp;MONTH(I7),47:47)</f>
        <v>0</v>
      </c>
      <c r="K7" s="497"/>
      <c r="L7" s="2994"/>
      <c r="M7" s="2995"/>
      <c r="N7" s="2995"/>
      <c r="O7" s="2995"/>
      <c r="P7" s="3588" t="s">
        <v>2202</v>
      </c>
      <c r="Q7" s="3612"/>
      <c r="R7" s="627" t="s">
        <v>25</v>
      </c>
      <c r="S7" s="628">
        <f t="shared" ref="S7:S14" si="0">F7</f>
        <v>0</v>
      </c>
      <c r="T7" s="627" t="s">
        <v>25</v>
      </c>
      <c r="U7" s="628">
        <f t="shared" ref="U7:U14" si="1">H7</f>
        <v>0</v>
      </c>
      <c r="V7" s="627" t="s">
        <v>25</v>
      </c>
      <c r="W7" s="628">
        <f t="shared" ref="W7:W14" si="2">J7</f>
        <v>0</v>
      </c>
      <c r="X7" s="629"/>
      <c r="Y7" s="3588" t="s">
        <v>2202</v>
      </c>
      <c r="Z7" s="3589"/>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588" t="s">
        <v>2205</v>
      </c>
      <c r="Q8" s="3589"/>
      <c r="R8" s="627" t="s">
        <v>25</v>
      </c>
      <c r="S8" s="628">
        <f t="shared" si="0"/>
        <v>0</v>
      </c>
      <c r="T8" s="627" t="s">
        <v>25</v>
      </c>
      <c r="U8" s="628">
        <f t="shared" si="1"/>
        <v>0</v>
      </c>
      <c r="V8" s="627" t="s">
        <v>25</v>
      </c>
      <c r="W8" s="628">
        <f t="shared" si="2"/>
        <v>0</v>
      </c>
      <c r="X8" s="629"/>
      <c r="Y8" s="3588" t="s">
        <v>2205</v>
      </c>
      <c r="Z8" s="3589"/>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585" t="s">
        <v>2208</v>
      </c>
      <c r="Q9" s="1296" t="str">
        <f t="shared" ref="Q9:Q14" si="6">B9</f>
        <v>用途</v>
      </c>
      <c r="R9" s="627" t="s">
        <v>25</v>
      </c>
      <c r="S9" s="628">
        <f t="shared" si="0"/>
        <v>100</v>
      </c>
      <c r="T9" s="627" t="s">
        <v>25</v>
      </c>
      <c r="U9" s="628">
        <f t="shared" si="1"/>
        <v>100</v>
      </c>
      <c r="V9" s="627" t="s">
        <v>25</v>
      </c>
      <c r="W9" s="628">
        <f t="shared" si="2"/>
        <v>100</v>
      </c>
      <c r="X9" s="629"/>
      <c r="Y9" s="3615"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585"/>
      <c r="Q10" s="1296" t="str">
        <f t="shared" si="6"/>
        <v>土地使用年限（年）</v>
      </c>
      <c r="R10" s="627" t="s">
        <v>25</v>
      </c>
      <c r="S10" s="628">
        <f t="shared" si="0"/>
        <v>100</v>
      </c>
      <c r="T10" s="627" t="s">
        <v>25</v>
      </c>
      <c r="U10" s="628">
        <f t="shared" si="1"/>
        <v>100</v>
      </c>
      <c r="V10" s="627" t="s">
        <v>25</v>
      </c>
      <c r="W10" s="628">
        <f t="shared" si="2"/>
        <v>100</v>
      </c>
      <c r="X10" s="629"/>
      <c r="Y10" s="3615"/>
      <c r="Z10" s="19" t="str">
        <f t="shared" si="7"/>
        <v>土地使用年限（年）</v>
      </c>
      <c r="AA10" s="630">
        <f t="shared" si="3"/>
        <v>1</v>
      </c>
      <c r="AB10" s="630">
        <f t="shared" si="4"/>
        <v>1</v>
      </c>
      <c r="AC10" s="630">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585"/>
      <c r="Q11" s="1296">
        <f t="shared" si="6"/>
        <v>111</v>
      </c>
      <c r="R11" s="627" t="s">
        <v>25</v>
      </c>
      <c r="S11" s="628">
        <f t="shared" si="0"/>
        <v>100</v>
      </c>
      <c r="T11" s="627" t="s">
        <v>25</v>
      </c>
      <c r="U11" s="628">
        <f t="shared" si="1"/>
        <v>100</v>
      </c>
      <c r="V11" s="627" t="s">
        <v>25</v>
      </c>
      <c r="W11" s="628">
        <f t="shared" si="2"/>
        <v>100</v>
      </c>
      <c r="X11" s="629"/>
      <c r="Y11" s="3615"/>
      <c r="Z11" s="19">
        <f t="shared" si="7"/>
        <v>111</v>
      </c>
      <c r="AA11" s="630">
        <f t="shared" si="3"/>
        <v>1</v>
      </c>
      <c r="AB11" s="630">
        <f t="shared" si="4"/>
        <v>1</v>
      </c>
      <c r="AC11" s="630">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585"/>
      <c r="Q12" s="1296">
        <f t="shared" si="6"/>
        <v>111</v>
      </c>
      <c r="R12" s="627" t="s">
        <v>25</v>
      </c>
      <c r="S12" s="628">
        <f t="shared" si="0"/>
        <v>100</v>
      </c>
      <c r="T12" s="627" t="s">
        <v>25</v>
      </c>
      <c r="U12" s="628">
        <f t="shared" si="1"/>
        <v>100</v>
      </c>
      <c r="V12" s="627" t="s">
        <v>25</v>
      </c>
      <c r="W12" s="628">
        <f t="shared" si="2"/>
        <v>100</v>
      </c>
      <c r="X12" s="629"/>
      <c r="Y12" s="3615"/>
      <c r="Z12" s="19">
        <f t="shared" si="7"/>
        <v>111</v>
      </c>
      <c r="AA12" s="630">
        <f>D12/F12</f>
        <v>1</v>
      </c>
      <c r="AB12" s="630">
        <f>D12/H12</f>
        <v>1</v>
      </c>
      <c r="AC12" s="630">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585"/>
      <c r="Q13" s="1296">
        <f t="shared" si="6"/>
        <v>111</v>
      </c>
      <c r="R13" s="627" t="s">
        <v>25</v>
      </c>
      <c r="S13" s="628">
        <f t="shared" si="0"/>
        <v>100</v>
      </c>
      <c r="T13" s="627" t="s">
        <v>25</v>
      </c>
      <c r="U13" s="628">
        <f t="shared" si="1"/>
        <v>100</v>
      </c>
      <c r="V13" s="627" t="s">
        <v>25</v>
      </c>
      <c r="W13" s="628">
        <f t="shared" si="2"/>
        <v>100</v>
      </c>
      <c r="X13" s="629"/>
      <c r="Y13" s="3615"/>
      <c r="Z13" s="19">
        <f t="shared" si="7"/>
        <v>111</v>
      </c>
      <c r="AA13" s="630">
        <f t="shared" si="3"/>
        <v>1</v>
      </c>
      <c r="AB13" s="630">
        <f t="shared" si="4"/>
        <v>1</v>
      </c>
      <c r="AC13" s="630">
        <f t="shared" si="5"/>
        <v>1</v>
      </c>
    </row>
    <row r="14" spans="1:29" ht="85.5">
      <c r="A14" s="329" t="s">
        <v>2212</v>
      </c>
      <c r="B14" s="22" t="s">
        <v>2350</v>
      </c>
      <c r="C14" s="155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13" t="s">
        <v>2213</v>
      </c>
      <c r="Q14" s="1303" t="str">
        <f t="shared" si="6"/>
        <v>交通便捷度</v>
      </c>
      <c r="R14" s="631" t="s">
        <v>25</v>
      </c>
      <c r="S14" s="632">
        <f t="shared" si="0"/>
        <v>100</v>
      </c>
      <c r="T14" s="631" t="s">
        <v>25</v>
      </c>
      <c r="U14" s="632">
        <f t="shared" si="1"/>
        <v>100</v>
      </c>
      <c r="V14" s="631" t="s">
        <v>25</v>
      </c>
      <c r="W14" s="632">
        <f t="shared" si="2"/>
        <v>100</v>
      </c>
      <c r="X14" s="1304"/>
      <c r="Y14" s="3613" t="s">
        <v>2213</v>
      </c>
      <c r="Z14" s="1305" t="str">
        <f t="shared" si="7"/>
        <v>交通便捷度</v>
      </c>
      <c r="AA14" s="1306">
        <f t="shared" si="3"/>
        <v>1</v>
      </c>
      <c r="AB14" s="1306">
        <f t="shared" si="4"/>
        <v>1</v>
      </c>
      <c r="AC14" s="1306">
        <f t="shared" si="5"/>
        <v>1</v>
      </c>
    </row>
    <row r="15" spans="1:29" ht="15">
      <c r="A15" s="318"/>
      <c r="B15" s="334"/>
      <c r="C15" s="335"/>
      <c r="D15" s="336"/>
      <c r="E15" s="335"/>
      <c r="F15" s="338"/>
      <c r="G15" s="335"/>
      <c r="H15" s="339"/>
      <c r="I15" s="335"/>
      <c r="J15" s="336"/>
      <c r="K15" s="501"/>
      <c r="L15" s="3002"/>
      <c r="M15" s="2993"/>
      <c r="N15" s="2993"/>
      <c r="O15" s="3001"/>
      <c r="P15" s="3614"/>
      <c r="Q15" s="1303"/>
      <c r="R15" s="631"/>
      <c r="S15" s="632"/>
      <c r="T15" s="631"/>
      <c r="U15" s="632"/>
      <c r="V15" s="631"/>
      <c r="W15" s="632"/>
      <c r="X15" s="1304"/>
      <c r="Y15" s="3614"/>
      <c r="Z15" s="1305"/>
      <c r="AA15" s="1306">
        <v>1</v>
      </c>
      <c r="AB15" s="1306">
        <v>1</v>
      </c>
      <c r="AC15" s="1306">
        <v>1</v>
      </c>
    </row>
    <row r="16" spans="1:29" ht="42.75">
      <c r="A16" s="318"/>
      <c r="B16" s="513" t="s">
        <v>2328</v>
      </c>
      <c r="C16" s="153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14"/>
      <c r="Q16" s="1303" t="str">
        <f>B16</f>
        <v>公共配套设施</v>
      </c>
      <c r="R16" s="631" t="s">
        <v>25</v>
      </c>
      <c r="S16" s="632">
        <f>F16</f>
        <v>100</v>
      </c>
      <c r="T16" s="631" t="s">
        <v>25</v>
      </c>
      <c r="U16" s="632">
        <f>H16</f>
        <v>100</v>
      </c>
      <c r="V16" s="631" t="s">
        <v>25</v>
      </c>
      <c r="W16" s="632">
        <f>J16</f>
        <v>100</v>
      </c>
      <c r="X16" s="1304"/>
      <c r="Y16" s="3614"/>
      <c r="Z16" s="1305" t="str">
        <f>Q16</f>
        <v>公共配套设施</v>
      </c>
      <c r="AA16" s="1306">
        <f t="shared" si="3"/>
        <v>1</v>
      </c>
      <c r="AB16" s="1306">
        <f t="shared" si="4"/>
        <v>1</v>
      </c>
      <c r="AC16" s="1306">
        <f t="shared" si="5"/>
        <v>1</v>
      </c>
    </row>
    <row r="17" spans="1:29" ht="15">
      <c r="A17" s="318"/>
      <c r="B17" s="514"/>
      <c r="C17" s="346"/>
      <c r="D17" s="336"/>
      <c r="E17" s="335"/>
      <c r="F17" s="338"/>
      <c r="G17" s="335"/>
      <c r="H17" s="336"/>
      <c r="I17" s="335"/>
      <c r="J17" s="336"/>
      <c r="K17" s="501"/>
      <c r="L17" s="3002"/>
      <c r="M17" s="2993"/>
      <c r="N17" s="2993"/>
      <c r="O17" s="3001"/>
      <c r="P17" s="3614"/>
      <c r="Q17" s="1303"/>
      <c r="R17" s="631"/>
      <c r="S17" s="632"/>
      <c r="T17" s="631"/>
      <c r="U17" s="632"/>
      <c r="V17" s="631"/>
      <c r="W17" s="632"/>
      <c r="X17" s="1304"/>
      <c r="Y17" s="3614"/>
      <c r="Z17" s="1305"/>
      <c r="AA17" s="1306">
        <v>1</v>
      </c>
      <c r="AB17" s="1306">
        <v>1</v>
      </c>
      <c r="AC17" s="1306">
        <v>1</v>
      </c>
    </row>
    <row r="18" spans="1:29" ht="28.5">
      <c r="A18" s="318"/>
      <c r="B18" s="515" t="s">
        <v>2329</v>
      </c>
      <c r="C18" s="153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14"/>
      <c r="Q18" s="1303" t="str">
        <f>B18</f>
        <v>基础设施水平</v>
      </c>
      <c r="R18" s="631" t="s">
        <v>25</v>
      </c>
      <c r="S18" s="632">
        <f>F18</f>
        <v>100</v>
      </c>
      <c r="T18" s="631" t="s">
        <v>25</v>
      </c>
      <c r="U18" s="632">
        <f>H18</f>
        <v>100</v>
      </c>
      <c r="V18" s="631" t="s">
        <v>25</v>
      </c>
      <c r="W18" s="632">
        <f>J18</f>
        <v>100</v>
      </c>
      <c r="X18" s="1304"/>
      <c r="Y18" s="3614"/>
      <c r="Z18" s="1305" t="str">
        <f>Q18</f>
        <v>基础设施水平</v>
      </c>
      <c r="AA18" s="1306">
        <f t="shared" ref="AA18" si="8">D18/F18</f>
        <v>1</v>
      </c>
      <c r="AB18" s="1306">
        <f t="shared" ref="AB18" si="9">D18/H18</f>
        <v>1</v>
      </c>
      <c r="AC18" s="1306">
        <f t="shared" ref="AC18" si="10">D18/J18</f>
        <v>1</v>
      </c>
    </row>
    <row r="19" spans="1:29" ht="15">
      <c r="A19" s="318"/>
      <c r="B19" s="515"/>
      <c r="C19" s="346"/>
      <c r="D19" s="336"/>
      <c r="E19" s="346"/>
      <c r="F19" s="342"/>
      <c r="G19" s="346"/>
      <c r="H19" s="336"/>
      <c r="I19" s="335"/>
      <c r="J19" s="336"/>
      <c r="K19" s="1102"/>
      <c r="L19" s="3002"/>
      <c r="M19" s="2993"/>
      <c r="N19" s="2993"/>
      <c r="O19" s="3001"/>
      <c r="P19" s="3614"/>
      <c r="Q19" s="1303"/>
      <c r="R19" s="631"/>
      <c r="S19" s="632"/>
      <c r="T19" s="631"/>
      <c r="U19" s="632"/>
      <c r="V19" s="631"/>
      <c r="W19" s="632"/>
      <c r="X19" s="1304"/>
      <c r="Y19" s="3614"/>
      <c r="Z19" s="1305"/>
      <c r="AA19" s="1306">
        <v>1</v>
      </c>
      <c r="AB19" s="1306">
        <v>1</v>
      </c>
      <c r="AC19" s="1306">
        <v>1</v>
      </c>
    </row>
    <row r="20" spans="1:29" ht="57">
      <c r="A20" s="318"/>
      <c r="B20" s="340" t="s">
        <v>2351</v>
      </c>
      <c r="C20" s="153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14"/>
      <c r="Q20" s="1303" t="str">
        <f>B20</f>
        <v>自然及人文环境</v>
      </c>
      <c r="R20" s="631" t="s">
        <v>25</v>
      </c>
      <c r="S20" s="632">
        <f>F20</f>
        <v>100</v>
      </c>
      <c r="T20" s="631" t="s">
        <v>25</v>
      </c>
      <c r="U20" s="632">
        <f>H20</f>
        <v>100</v>
      </c>
      <c r="V20" s="631" t="s">
        <v>25</v>
      </c>
      <c r="W20" s="632">
        <f>J20</f>
        <v>100</v>
      </c>
      <c r="X20" s="1304"/>
      <c r="Y20" s="3614"/>
      <c r="Z20" s="1305" t="str">
        <f>Q20</f>
        <v>自然及人文环境</v>
      </c>
      <c r="AA20" s="1306">
        <f t="shared" si="3"/>
        <v>1</v>
      </c>
      <c r="AB20" s="1306">
        <f t="shared" si="4"/>
        <v>1</v>
      </c>
      <c r="AC20" s="1306">
        <f t="shared" si="5"/>
        <v>1</v>
      </c>
    </row>
    <row r="21" spans="1:29" ht="15">
      <c r="A21" s="318"/>
      <c r="B21" s="345"/>
      <c r="C21" s="335"/>
      <c r="D21" s="336"/>
      <c r="E21" s="335"/>
      <c r="F21" s="338"/>
      <c r="G21" s="335"/>
      <c r="H21" s="336"/>
      <c r="I21" s="335"/>
      <c r="J21" s="336"/>
      <c r="K21" s="501"/>
      <c r="L21" s="3002"/>
      <c r="M21" s="2993"/>
      <c r="N21" s="2993"/>
      <c r="O21" s="3001"/>
      <c r="P21" s="3614"/>
      <c r="Q21" s="1303"/>
      <c r="R21" s="631"/>
      <c r="S21" s="632"/>
      <c r="T21" s="631"/>
      <c r="U21" s="632"/>
      <c r="V21" s="631"/>
      <c r="W21" s="632"/>
      <c r="X21" s="1304"/>
      <c r="Y21" s="3614"/>
      <c r="Z21" s="1305"/>
      <c r="AA21" s="1306">
        <v>1</v>
      </c>
      <c r="AB21" s="1306">
        <v>1</v>
      </c>
      <c r="AC21" s="1306">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14"/>
      <c r="Q22" s="1303" t="str">
        <f>B22</f>
        <v>楼层</v>
      </c>
      <c r="R22" s="631" t="s">
        <v>25</v>
      </c>
      <c r="S22" s="632">
        <f>F22</f>
        <v>100</v>
      </c>
      <c r="T22" s="631" t="s">
        <v>25</v>
      </c>
      <c r="U22" s="632">
        <f>H22</f>
        <v>100</v>
      </c>
      <c r="V22" s="631" t="s">
        <v>25</v>
      </c>
      <c r="W22" s="632">
        <f>J22</f>
        <v>100</v>
      </c>
      <c r="X22" s="1304"/>
      <c r="Y22" s="3614"/>
      <c r="Z22" s="1305" t="str">
        <f>Q22</f>
        <v>楼层</v>
      </c>
      <c r="AA22" s="1306">
        <f t="shared" si="3"/>
        <v>1</v>
      </c>
      <c r="AB22" s="1306">
        <f t="shared" si="4"/>
        <v>1</v>
      </c>
      <c r="AC22" s="1306">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14"/>
      <c r="Q23" s="1303">
        <f>B23</f>
        <v>111</v>
      </c>
      <c r="R23" s="631" t="s">
        <v>25</v>
      </c>
      <c r="S23" s="632">
        <f>F23</f>
        <v>100</v>
      </c>
      <c r="T23" s="631" t="s">
        <v>25</v>
      </c>
      <c r="U23" s="632">
        <f>H23</f>
        <v>100</v>
      </c>
      <c r="V23" s="631" t="s">
        <v>25</v>
      </c>
      <c r="W23" s="632">
        <f>J23</f>
        <v>100</v>
      </c>
      <c r="X23" s="1304"/>
      <c r="Y23" s="3614"/>
      <c r="Z23" s="1305">
        <f>Q23</f>
        <v>111</v>
      </c>
      <c r="AA23" s="1306">
        <f t="shared" si="3"/>
        <v>1</v>
      </c>
      <c r="AB23" s="1306">
        <f t="shared" si="4"/>
        <v>1</v>
      </c>
      <c r="AC23" s="1306">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14"/>
      <c r="Q24" s="1303">
        <f t="shared" ref="Q24:Q34" si="11">B24</f>
        <v>111</v>
      </c>
      <c r="R24" s="631" t="s">
        <v>25</v>
      </c>
      <c r="S24" s="632">
        <f>F24</f>
        <v>100</v>
      </c>
      <c r="T24" s="631" t="s">
        <v>25</v>
      </c>
      <c r="U24" s="632">
        <f>H24</f>
        <v>100</v>
      </c>
      <c r="V24" s="631" t="s">
        <v>25</v>
      </c>
      <c r="W24" s="632">
        <f>J24</f>
        <v>100</v>
      </c>
      <c r="X24" s="1304"/>
      <c r="Y24" s="3614"/>
      <c r="Z24" s="1305">
        <f>Q24</f>
        <v>111</v>
      </c>
      <c r="AA24" s="1306">
        <f t="shared" si="3"/>
        <v>1</v>
      </c>
      <c r="AB24" s="1306">
        <f t="shared" si="4"/>
        <v>1</v>
      </c>
      <c r="AC24" s="1306">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94"/>
      <c r="M25" s="2995"/>
      <c r="N25" s="2995"/>
      <c r="O25" s="2996"/>
      <c r="P25" s="3614"/>
      <c r="Q25" s="1296">
        <f t="shared" si="11"/>
        <v>111</v>
      </c>
      <c r="R25" s="627" t="s">
        <v>25</v>
      </c>
      <c r="S25" s="628">
        <f>F25</f>
        <v>100</v>
      </c>
      <c r="T25" s="627" t="s">
        <v>25</v>
      </c>
      <c r="U25" s="628">
        <f>H25</f>
        <v>100</v>
      </c>
      <c r="V25" s="627" t="s">
        <v>25</v>
      </c>
      <c r="W25" s="628">
        <f>J25</f>
        <v>100</v>
      </c>
      <c r="X25" s="629"/>
      <c r="Y25" s="3614"/>
      <c r="Z25" s="19">
        <f>Q25</f>
        <v>111</v>
      </c>
      <c r="AA25" s="1306">
        <f>D25/F25</f>
        <v>1</v>
      </c>
      <c r="AB25" s="1306">
        <f>D25/H25</f>
        <v>1</v>
      </c>
      <c r="AC25" s="1306">
        <f>D25/J25</f>
        <v>1</v>
      </c>
    </row>
    <row r="26" spans="1:29" ht="28.5">
      <c r="A26" s="354" t="s">
        <v>2217</v>
      </c>
      <c r="B26" s="24" t="s">
        <v>2355</v>
      </c>
      <c r="C26" s="1546"/>
      <c r="D26" s="355">
        <v>100</v>
      </c>
      <c r="E26" s="1546"/>
      <c r="F26" s="548">
        <f>SUMIF(77:77,E26,78:78)-SUMIF(77:77,C26,78:78)+100</f>
        <v>100</v>
      </c>
      <c r="G26" s="1546"/>
      <c r="H26" s="355">
        <f>SUMIF(77:77,G26,78:78)-SUMIF(77:77,C26,78:78)+100</f>
        <v>100</v>
      </c>
      <c r="I26" s="1546"/>
      <c r="J26" s="355">
        <f>SUMIF(77:77,I26,78:78)-SUMIF(77:77,C26,78:78)+100</f>
        <v>100</v>
      </c>
      <c r="K26" s="498"/>
      <c r="L26" s="3002"/>
      <c r="M26" s="2993"/>
      <c r="N26" s="2993"/>
      <c r="O26" s="3001"/>
      <c r="P26" s="3616" t="s">
        <v>2219</v>
      </c>
      <c r="Q26" s="1303" t="str">
        <f t="shared" si="11"/>
        <v>公共部分装修</v>
      </c>
      <c r="R26" s="631" t="s">
        <v>25</v>
      </c>
      <c r="S26" s="632">
        <f t="shared" ref="S26:S34" si="12">F26</f>
        <v>100</v>
      </c>
      <c r="T26" s="631" t="s">
        <v>25</v>
      </c>
      <c r="U26" s="632">
        <f t="shared" ref="U26:U34" si="13">H26</f>
        <v>100</v>
      </c>
      <c r="V26" s="631" t="s">
        <v>25</v>
      </c>
      <c r="W26" s="632">
        <f t="shared" ref="W26:W34" si="14">J26</f>
        <v>100</v>
      </c>
      <c r="X26" s="1304"/>
      <c r="Y26" s="3617" t="s">
        <v>2219</v>
      </c>
      <c r="Z26" s="1305" t="str">
        <f t="shared" ref="Z26:Z34" si="15">Q26</f>
        <v>公共部分装修</v>
      </c>
      <c r="AA26" s="1306">
        <f t="shared" si="3"/>
        <v>1</v>
      </c>
      <c r="AB26" s="1306">
        <f t="shared" si="4"/>
        <v>1</v>
      </c>
      <c r="AC26" s="1306">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17"/>
      <c r="Q27" s="633" t="str">
        <f t="shared" si="11"/>
        <v>成新率</v>
      </c>
      <c r="R27" s="634" t="s">
        <v>25</v>
      </c>
      <c r="S27" s="635" t="e">
        <f t="shared" si="12"/>
        <v>#N/A</v>
      </c>
      <c r="T27" s="634" t="s">
        <v>25</v>
      </c>
      <c r="U27" s="635" t="e">
        <f t="shared" si="13"/>
        <v>#N/A</v>
      </c>
      <c r="V27" s="634" t="s">
        <v>25</v>
      </c>
      <c r="W27" s="635" t="e">
        <f t="shared" si="14"/>
        <v>#N/A</v>
      </c>
      <c r="X27" s="636"/>
      <c r="Y27" s="3617"/>
      <c r="Z27" s="637" t="str">
        <f t="shared" si="15"/>
        <v>成新率</v>
      </c>
      <c r="AA27" s="1306" t="e">
        <f t="shared" si="3"/>
        <v>#N/A</v>
      </c>
      <c r="AB27" s="1306" t="e">
        <f t="shared" si="4"/>
        <v>#N/A</v>
      </c>
      <c r="AC27" s="1306"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17"/>
      <c r="Q28" s="1303" t="str">
        <f t="shared" si="11"/>
        <v>物业等级</v>
      </c>
      <c r="R28" s="631" t="s">
        <v>25</v>
      </c>
      <c r="S28" s="632">
        <f t="shared" si="12"/>
        <v>100</v>
      </c>
      <c r="T28" s="631" t="s">
        <v>25</v>
      </c>
      <c r="U28" s="632">
        <f t="shared" si="13"/>
        <v>100</v>
      </c>
      <c r="V28" s="631" t="s">
        <v>25</v>
      </c>
      <c r="W28" s="632">
        <f t="shared" si="14"/>
        <v>100</v>
      </c>
      <c r="X28" s="1304"/>
      <c r="Y28" s="3617"/>
      <c r="Z28" s="1305" t="str">
        <f t="shared" si="15"/>
        <v>物业等级</v>
      </c>
      <c r="AA28" s="1306">
        <f t="shared" si="3"/>
        <v>1</v>
      </c>
      <c r="AB28" s="1306">
        <f t="shared" si="4"/>
        <v>1</v>
      </c>
      <c r="AC28" s="1306">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17"/>
      <c r="Q29" s="1303" t="str">
        <f t="shared" si="11"/>
        <v>有无电梯</v>
      </c>
      <c r="R29" s="631" t="s">
        <v>25</v>
      </c>
      <c r="S29" s="632">
        <f t="shared" si="12"/>
        <v>100</v>
      </c>
      <c r="T29" s="631" t="s">
        <v>25</v>
      </c>
      <c r="U29" s="632">
        <f t="shared" si="13"/>
        <v>100</v>
      </c>
      <c r="V29" s="631" t="s">
        <v>25</v>
      </c>
      <c r="W29" s="632">
        <f t="shared" si="14"/>
        <v>100</v>
      </c>
      <c r="X29" s="1304"/>
      <c r="Y29" s="3617"/>
      <c r="Z29" s="1305" t="str">
        <f t="shared" si="15"/>
        <v>有无电梯</v>
      </c>
      <c r="AA29" s="1306">
        <f t="shared" si="3"/>
        <v>1</v>
      </c>
      <c r="AB29" s="1306">
        <f t="shared" si="4"/>
        <v>1</v>
      </c>
      <c r="AC29" s="1306">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17"/>
      <c r="Q30" s="1303" t="str">
        <f t="shared" si="11"/>
        <v>建筑面积</v>
      </c>
      <c r="R30" s="631" t="s">
        <v>25</v>
      </c>
      <c r="S30" s="632" t="e">
        <f t="shared" si="12"/>
        <v>#N/A</v>
      </c>
      <c r="T30" s="631" t="s">
        <v>25</v>
      </c>
      <c r="U30" s="632" t="e">
        <f t="shared" si="13"/>
        <v>#N/A</v>
      </c>
      <c r="V30" s="631" t="s">
        <v>25</v>
      </c>
      <c r="W30" s="632" t="e">
        <f t="shared" si="14"/>
        <v>#N/A</v>
      </c>
      <c r="X30" s="1304"/>
      <c r="Y30" s="3617"/>
      <c r="Z30" s="1305" t="str">
        <f t="shared" si="15"/>
        <v>建筑面积</v>
      </c>
      <c r="AA30" s="1306" t="e">
        <f t="shared" si="3"/>
        <v>#N/A</v>
      </c>
      <c r="AB30" s="1306" t="e">
        <f t="shared" si="4"/>
        <v>#N/A</v>
      </c>
      <c r="AC30" s="1306"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17"/>
      <c r="Q31" s="1296" t="str">
        <f t="shared" si="11"/>
        <v>是否封闭</v>
      </c>
      <c r="R31" s="627" t="s">
        <v>25</v>
      </c>
      <c r="S31" s="628">
        <f t="shared" si="12"/>
        <v>100</v>
      </c>
      <c r="T31" s="627" t="s">
        <v>25</v>
      </c>
      <c r="U31" s="628">
        <f t="shared" si="13"/>
        <v>100</v>
      </c>
      <c r="V31" s="627" t="s">
        <v>25</v>
      </c>
      <c r="W31" s="628">
        <f t="shared" si="14"/>
        <v>100</v>
      </c>
      <c r="X31" s="629"/>
      <c r="Y31" s="3617"/>
      <c r="Z31" s="19" t="str">
        <f t="shared" si="15"/>
        <v>是否封闭</v>
      </c>
      <c r="AA31" s="630">
        <f t="shared" si="3"/>
        <v>1</v>
      </c>
      <c r="AB31" s="630">
        <f t="shared" si="4"/>
        <v>1</v>
      </c>
      <c r="AC31" s="630">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17" t="s">
        <v>2219</v>
      </c>
      <c r="Q32" s="1303">
        <f t="shared" si="11"/>
        <v>111</v>
      </c>
      <c r="R32" s="631" t="s">
        <v>25</v>
      </c>
      <c r="S32" s="632">
        <f t="shared" si="12"/>
        <v>100</v>
      </c>
      <c r="T32" s="631" t="s">
        <v>25</v>
      </c>
      <c r="U32" s="632">
        <f t="shared" si="13"/>
        <v>100</v>
      </c>
      <c r="V32" s="631" t="s">
        <v>25</v>
      </c>
      <c r="W32" s="632">
        <f t="shared" si="14"/>
        <v>100</v>
      </c>
      <c r="X32" s="1304"/>
      <c r="Y32" s="3617" t="s">
        <v>2219</v>
      </c>
      <c r="Z32" s="1305">
        <f t="shared" si="15"/>
        <v>111</v>
      </c>
      <c r="AA32" s="1306">
        <f t="shared" si="3"/>
        <v>1</v>
      </c>
      <c r="AB32" s="1306">
        <f t="shared" si="4"/>
        <v>1</v>
      </c>
      <c r="AC32" s="1306">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17"/>
      <c r="Q33" s="1303">
        <f t="shared" si="11"/>
        <v>111</v>
      </c>
      <c r="R33" s="631" t="s">
        <v>25</v>
      </c>
      <c r="S33" s="632">
        <f t="shared" si="12"/>
        <v>100</v>
      </c>
      <c r="T33" s="631" t="s">
        <v>25</v>
      </c>
      <c r="U33" s="632">
        <f t="shared" si="13"/>
        <v>100</v>
      </c>
      <c r="V33" s="631" t="s">
        <v>25</v>
      </c>
      <c r="W33" s="632">
        <f t="shared" si="14"/>
        <v>100</v>
      </c>
      <c r="X33" s="1304"/>
      <c r="Y33" s="3617"/>
      <c r="Z33" s="1305">
        <f t="shared" si="15"/>
        <v>111</v>
      </c>
      <c r="AA33" s="1306">
        <f t="shared" si="3"/>
        <v>1</v>
      </c>
      <c r="AB33" s="1306">
        <f t="shared" si="4"/>
        <v>1</v>
      </c>
      <c r="AC33" s="1306">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3002"/>
      <c r="M34" s="2993"/>
      <c r="N34" s="2993"/>
      <c r="O34" s="3001"/>
      <c r="P34" s="3617"/>
      <c r="Q34" s="1303">
        <f t="shared" si="11"/>
        <v>111</v>
      </c>
      <c r="R34" s="631" t="s">
        <v>25</v>
      </c>
      <c r="S34" s="632">
        <f t="shared" si="12"/>
        <v>100</v>
      </c>
      <c r="T34" s="631" t="s">
        <v>25</v>
      </c>
      <c r="U34" s="632">
        <f t="shared" si="13"/>
        <v>100</v>
      </c>
      <c r="V34" s="631" t="s">
        <v>25</v>
      </c>
      <c r="W34" s="632">
        <f t="shared" si="14"/>
        <v>100</v>
      </c>
      <c r="X34" s="1304"/>
      <c r="Y34" s="3617"/>
      <c r="Z34" s="1305">
        <f t="shared" si="15"/>
        <v>111</v>
      </c>
      <c r="AA34" s="1306">
        <f t="shared" si="3"/>
        <v>1</v>
      </c>
      <c r="AB34" s="1306">
        <f t="shared" si="4"/>
        <v>1</v>
      </c>
      <c r="AC34" s="1306">
        <f t="shared" si="5"/>
        <v>1</v>
      </c>
    </row>
    <row r="35" spans="1:29" ht="15">
      <c r="A35" s="367" t="s">
        <v>2231</v>
      </c>
      <c r="B35" s="368"/>
      <c r="C35" s="1123" t="s">
        <v>1</v>
      </c>
      <c r="D35" s="1124"/>
      <c r="E35" s="1125"/>
      <c r="F35" s="1126"/>
      <c r="G35" s="1127"/>
      <c r="H35" s="1128"/>
      <c r="I35" s="1125"/>
      <c r="J35" s="1128"/>
      <c r="K35" s="640"/>
      <c r="L35" s="3004"/>
      <c r="N35" s="2993"/>
      <c r="P35" s="3585" t="str">
        <f>A35</f>
        <v>成交单价（元/平方米）</v>
      </c>
      <c r="Q35" s="3585"/>
      <c r="R35" s="3619">
        <f>E35</f>
        <v>0</v>
      </c>
      <c r="S35" s="3619"/>
      <c r="T35" s="3619">
        <f>G35</f>
        <v>0</v>
      </c>
      <c r="U35" s="3619"/>
      <c r="V35" s="3619">
        <f>I35</f>
        <v>0</v>
      </c>
      <c r="W35" s="3619"/>
      <c r="X35" s="618"/>
      <c r="Y35" s="638"/>
      <c r="Z35" s="618"/>
      <c r="AA35" s="618"/>
      <c r="AB35" s="618"/>
      <c r="AC35" s="618"/>
    </row>
    <row r="36" spans="1:29" ht="15.75" thickBot="1">
      <c r="A36" s="374" t="s">
        <v>2314</v>
      </c>
      <c r="B36" s="375"/>
      <c r="C36" s="1129" t="e">
        <f>R37</f>
        <v>#DIV/0!</v>
      </c>
      <c r="D36" s="1766" t="s">
        <v>2688</v>
      </c>
      <c r="E36" s="1130" t="e">
        <f>R36</f>
        <v>#DIV/0!</v>
      </c>
      <c r="F36" s="1768"/>
      <c r="G36" s="1129" t="e">
        <f>T36</f>
        <v>#DIV/0!</v>
      </c>
      <c r="H36" s="1768"/>
      <c r="I36" s="1130" t="e">
        <f>V36</f>
        <v>#DIV/0!</v>
      </c>
      <c r="J36" s="1768"/>
      <c r="K36" s="2480">
        <f>F36+H36+J36</f>
        <v>0</v>
      </c>
      <c r="L36" s="3004"/>
      <c r="N36" s="2993"/>
      <c r="P36" s="3585" t="str">
        <f>A36</f>
        <v>比较价值（元/平方米）</v>
      </c>
      <c r="Q36" s="3585"/>
      <c r="R36" s="3619" t="e">
        <f>IF(E1="售价",ROUND(PRODUCT(R35,AA7:AA34),0),ROUND(PRODUCT(R35,AA7:AA34),1))</f>
        <v>#DIV/0!</v>
      </c>
      <c r="S36" s="3619"/>
      <c r="T36" s="3619" t="e">
        <f>IF(E1="售价",ROUND(PRODUCT(T35,AB7:AB34),0),ROUND(PRODUCT(T35,AB7:AB34),1))</f>
        <v>#DIV/0!</v>
      </c>
      <c r="U36" s="3619"/>
      <c r="V36" s="3619" t="e">
        <f>IF(E1="售价",ROUND(PRODUCT(V35,AC7:AC34),0),ROUND(PRODUCT(V35,AC7:AC34),1))</f>
        <v>#DIV/0!</v>
      </c>
      <c r="W36" s="3619"/>
      <c r="X36" s="618"/>
      <c r="Y36" s="618"/>
      <c r="Z36" s="618"/>
      <c r="AA36" s="618"/>
      <c r="AB36" s="618"/>
      <c r="AC36" s="618"/>
    </row>
    <row r="37" spans="1:29" ht="15.75" thickBot="1">
      <c r="A37" s="378" t="s">
        <v>2337</v>
      </c>
      <c r="B37" s="379"/>
      <c r="C37" s="1131" t="e">
        <f>R37</f>
        <v>#DIV/0!</v>
      </c>
      <c r="D37" s="1131"/>
      <c r="E37" s="1131"/>
      <c r="F37" s="1131"/>
      <c r="G37" s="1131"/>
      <c r="H37" s="1131"/>
      <c r="I37" s="1131"/>
      <c r="J37" s="1131"/>
      <c r="K37" s="641"/>
      <c r="L37" s="3004"/>
      <c r="P37" s="3620" t="str">
        <f>A37</f>
        <v>估价对象XX用房的比较价值（楼面单价，元/平方米）</v>
      </c>
      <c r="Q37" s="3621"/>
      <c r="R37" s="3622" t="e">
        <f>IF(E1="售价",ROUND(IF(D36="简单平均",AVERAGE(R36:W36),R36*F36+T36*H36+V36*J36),0),ROUND(IF(D36="简单平均",AVERAGE(R36:V36),R36*F36+T36*H36+V36*J36),1))</f>
        <v>#DIV/0!</v>
      </c>
      <c r="S37" s="3622"/>
      <c r="T37" s="3622"/>
      <c r="U37" s="3622"/>
      <c r="V37" s="3622"/>
      <c r="W37" s="3622"/>
      <c r="X37" s="618"/>
      <c r="Y37" s="618"/>
      <c r="Z37" s="618"/>
      <c r="AA37" s="618"/>
      <c r="AB37" s="618"/>
      <c r="AC37" s="618"/>
    </row>
    <row r="38" spans="1:29">
      <c r="G38" s="3007"/>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2319</v>
      </c>
      <c r="B45" s="618"/>
      <c r="C45" s="621"/>
      <c r="D45" s="621"/>
      <c r="E45" s="621"/>
      <c r="F45" s="622"/>
      <c r="G45" s="622"/>
      <c r="H45" s="621"/>
      <c r="I45" s="621"/>
      <c r="J45" s="621"/>
      <c r="K45" s="623"/>
      <c r="L45" s="624"/>
      <c r="M45" s="621"/>
      <c r="N45" s="3010"/>
      <c r="O45" s="3010"/>
      <c r="P45" s="389"/>
      <c r="Q45" s="390"/>
    </row>
    <row r="46" spans="1:29" s="394" customFormat="1" ht="15">
      <c r="A46" s="391" t="s">
        <v>2201</v>
      </c>
      <c r="B46" s="392"/>
      <c r="C46" s="1157" t="str">
        <f>YEAR(C7)&amp;"-"&amp;MONTH(C7)</f>
        <v>2021-12</v>
      </c>
      <c r="D46" s="1158">
        <f>EDATE(C46,-1)</f>
        <v>44501</v>
      </c>
      <c r="E46" s="1158">
        <f t="shared" ref="E46:O46" si="16">EDATE(D46,-1)</f>
        <v>44470</v>
      </c>
      <c r="F46" s="1158">
        <f t="shared" si="16"/>
        <v>44440</v>
      </c>
      <c r="G46" s="1158">
        <f t="shared" si="16"/>
        <v>44409</v>
      </c>
      <c r="H46" s="1158">
        <f t="shared" si="16"/>
        <v>44378</v>
      </c>
      <c r="I46" s="1158">
        <f t="shared" si="16"/>
        <v>44348</v>
      </c>
      <c r="J46" s="1158">
        <f t="shared" si="16"/>
        <v>44317</v>
      </c>
      <c r="K46" s="1158">
        <f t="shared" si="16"/>
        <v>44287</v>
      </c>
      <c r="L46" s="1158">
        <f t="shared" si="16"/>
        <v>44256</v>
      </c>
      <c r="M46" s="1158">
        <f t="shared" si="16"/>
        <v>44228</v>
      </c>
      <c r="N46" s="1158">
        <f t="shared" si="16"/>
        <v>44197</v>
      </c>
      <c r="O46" s="1158">
        <f t="shared" si="16"/>
        <v>44166</v>
      </c>
      <c r="P46" s="393"/>
    </row>
    <row r="47" spans="1:29" s="25" customFormat="1" ht="15">
      <c r="A47" s="395"/>
      <c r="B47" s="396"/>
      <c r="C47" s="1156">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2384</v>
      </c>
      <c r="B1" s="1921"/>
      <c r="C1" s="1922" t="s">
        <v>2385</v>
      </c>
      <c r="D1" s="1921"/>
      <c r="E1" s="1921"/>
      <c r="F1" s="1923" t="s">
        <v>2186</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1857</v>
      </c>
      <c r="B2" s="1931" t="e">
        <f>F66</f>
        <v>#DIV/0!</v>
      </c>
      <c r="C2" s="1626" t="s">
        <v>2386</v>
      </c>
      <c r="D2" s="2979"/>
      <c r="E2" s="2979"/>
      <c r="F2" s="2978"/>
      <c r="G2" s="2979"/>
      <c r="H2" s="2979"/>
      <c r="I2" s="2979"/>
      <c r="J2" s="2979"/>
      <c r="K2" s="2980"/>
      <c r="L2" s="2981"/>
      <c r="M2" s="2979"/>
      <c r="N2" s="2979"/>
      <c r="O2" s="2979"/>
      <c r="P2" s="1926"/>
      <c r="Q2" s="1926"/>
      <c r="R2" s="1926"/>
      <c r="S2" s="1926"/>
      <c r="T2" s="1926"/>
      <c r="U2" s="1926"/>
      <c r="V2" s="1926"/>
      <c r="W2" s="1926"/>
      <c r="X2" s="1926"/>
      <c r="Y2" s="1926"/>
      <c r="Z2" s="1926"/>
      <c r="AA2" s="1926"/>
      <c r="AB2" s="1926"/>
      <c r="AC2" s="1927"/>
      <c r="AD2" s="1928"/>
    </row>
    <row r="3" spans="1:30" s="1929" customFormat="1" ht="28.5" customHeight="1" thickBot="1">
      <c r="A3" s="1628" t="s">
        <v>1858</v>
      </c>
      <c r="B3" s="1932" t="e">
        <f>ROUND(B2/'数据-取费表'!B5,0)</f>
        <v>#DIV/0!</v>
      </c>
      <c r="C3" s="1626" t="s">
        <v>2387</v>
      </c>
      <c r="D3" s="2979"/>
      <c r="E3" s="2979"/>
      <c r="F3" s="2978"/>
      <c r="G3" s="2979"/>
      <c r="H3" s="2979"/>
      <c r="I3" s="2979"/>
      <c r="J3" s="2979"/>
      <c r="K3" s="2980"/>
      <c r="L3" s="2981"/>
      <c r="M3" s="2979"/>
      <c r="N3" s="2979"/>
      <c r="O3" s="2979"/>
      <c r="P3" s="1926"/>
      <c r="Q3" s="1926"/>
      <c r="R3" s="1926"/>
      <c r="S3" s="1926"/>
      <c r="T3" s="1926"/>
      <c r="U3" s="1926"/>
      <c r="V3" s="1926"/>
      <c r="W3" s="1926"/>
      <c r="X3" s="1926"/>
      <c r="Y3" s="1926"/>
      <c r="Z3" s="1926"/>
      <c r="AA3" s="1926"/>
      <c r="AB3" s="1933"/>
      <c r="AC3" s="1934"/>
    </row>
    <row r="4" spans="1:30" ht="15">
      <c r="A4" s="1632" t="s">
        <v>2188</v>
      </c>
      <c r="B4" s="1633"/>
      <c r="C4" s="3635" t="s">
        <v>2189</v>
      </c>
      <c r="D4" s="3636"/>
      <c r="E4" s="3637" t="s">
        <v>2190</v>
      </c>
      <c r="F4" s="3638"/>
      <c r="G4" s="3635" t="s">
        <v>2191</v>
      </c>
      <c r="H4" s="3636"/>
      <c r="I4" s="3635" t="s">
        <v>2192</v>
      </c>
      <c r="J4" s="3636"/>
      <c r="K4" s="1935" t="s">
        <v>2193</v>
      </c>
      <c r="L4" s="2964"/>
      <c r="M4" s="2965"/>
      <c r="N4" s="2965"/>
      <c r="O4" s="2965"/>
      <c r="P4" s="3639" t="s">
        <v>2194</v>
      </c>
      <c r="Q4" s="3640"/>
      <c r="R4" s="3645" t="s">
        <v>2190</v>
      </c>
      <c r="S4" s="3646"/>
      <c r="T4" s="3645" t="s">
        <v>2191</v>
      </c>
      <c r="U4" s="3646"/>
      <c r="V4" s="3651" t="s">
        <v>2192</v>
      </c>
      <c r="W4" s="3651"/>
      <c r="X4" s="1635"/>
      <c r="Y4" s="3645" t="s">
        <v>2194</v>
      </c>
      <c r="Z4" s="3646"/>
      <c r="AA4" s="3632" t="s">
        <v>2190</v>
      </c>
      <c r="AB4" s="3633" t="s">
        <v>2191</v>
      </c>
      <c r="AC4" s="3632" t="s">
        <v>2192</v>
      </c>
    </row>
    <row r="5" spans="1:30" ht="15">
      <c r="A5" s="1637"/>
      <c r="B5" s="1638"/>
      <c r="C5" s="3628" t="s">
        <v>2195</v>
      </c>
      <c r="D5" s="3629"/>
      <c r="E5" s="3652" t="s">
        <v>2196</v>
      </c>
      <c r="F5" s="3653"/>
      <c r="G5" s="3628" t="s">
        <v>2197</v>
      </c>
      <c r="H5" s="3629"/>
      <c r="I5" s="3628" t="s">
        <v>2198</v>
      </c>
      <c r="J5" s="3629"/>
      <c r="K5" s="1935"/>
      <c r="L5" s="2964"/>
      <c r="M5" s="2965"/>
      <c r="N5" s="2965"/>
      <c r="O5" s="2965"/>
      <c r="P5" s="3641"/>
      <c r="Q5" s="3642"/>
      <c r="R5" s="3647"/>
      <c r="S5" s="3648"/>
      <c r="T5" s="3647"/>
      <c r="U5" s="3648"/>
      <c r="V5" s="3651"/>
      <c r="W5" s="3651"/>
      <c r="X5" s="1635"/>
      <c r="Y5" s="3647"/>
      <c r="Z5" s="3648"/>
      <c r="AA5" s="3633"/>
      <c r="AB5" s="3633"/>
      <c r="AC5" s="3633"/>
    </row>
    <row r="6" spans="1:30" ht="15.75" thickBot="1">
      <c r="A6" s="1640"/>
      <c r="B6" s="1641"/>
      <c r="C6" s="3625" t="s">
        <v>2199</v>
      </c>
      <c r="D6" s="3626"/>
      <c r="E6" s="3623" t="s">
        <v>2199</v>
      </c>
      <c r="F6" s="3624"/>
      <c r="G6" s="3625" t="s">
        <v>2199</v>
      </c>
      <c r="H6" s="3626"/>
      <c r="I6" s="3625" t="s">
        <v>2199</v>
      </c>
      <c r="J6" s="3626"/>
      <c r="K6" s="1935" t="s">
        <v>2200</v>
      </c>
      <c r="L6" s="2964"/>
      <c r="M6" s="2965"/>
      <c r="N6" s="2965"/>
      <c r="O6" s="2965"/>
      <c r="P6" s="3643"/>
      <c r="Q6" s="3644"/>
      <c r="R6" s="3647"/>
      <c r="S6" s="3648"/>
      <c r="T6" s="3649"/>
      <c r="U6" s="3650"/>
      <c r="V6" s="3651"/>
      <c r="W6" s="3651"/>
      <c r="X6" s="1635"/>
      <c r="Y6" s="3649"/>
      <c r="Z6" s="3650"/>
      <c r="AA6" s="3634"/>
      <c r="AB6" s="3634"/>
      <c r="AC6" s="3634"/>
    </row>
    <row r="7" spans="1:30" s="1654" customFormat="1" ht="15.75" thickBot="1">
      <c r="A7" s="1642" t="s">
        <v>2201</v>
      </c>
      <c r="B7" s="1643"/>
      <c r="C7" s="1644">
        <f>'数据-取费表'!B2</f>
        <v>44561</v>
      </c>
      <c r="D7" s="1645">
        <v>100</v>
      </c>
      <c r="E7" s="1646"/>
      <c r="F7" s="1647">
        <f>SUMIF(70:70,YEAR(E7)&amp;"-"&amp;INT((MONTH(E7)+2)/3),71:71)</f>
        <v>0</v>
      </c>
      <c r="G7" s="1936"/>
      <c r="H7" s="1645">
        <f>SUMIF(70:70,YEAR(G7)&amp;"-"&amp;INT((MONTH(G7)+2)/3),71:71)</f>
        <v>0</v>
      </c>
      <c r="I7" s="1936"/>
      <c r="J7" s="1645">
        <f>SUMIF(70:70,YEAR(I7)&amp;"-"&amp;INT((MONTH(I7)+2)/3),71:71)</f>
        <v>0</v>
      </c>
      <c r="K7" s="1937"/>
      <c r="L7" s="2964"/>
      <c r="M7" s="2937"/>
      <c r="N7" s="2937"/>
      <c r="O7" s="2937"/>
      <c r="P7" s="3630" t="s">
        <v>2202</v>
      </c>
      <c r="Q7" s="3654"/>
      <c r="R7" s="1650" t="s">
        <v>25</v>
      </c>
      <c r="S7" s="1651">
        <f t="shared" ref="S7:S15" si="0">F7</f>
        <v>0</v>
      </c>
      <c r="T7" s="1650" t="s">
        <v>25</v>
      </c>
      <c r="U7" s="1651">
        <f t="shared" ref="U7:U15" si="1">H7</f>
        <v>0</v>
      </c>
      <c r="V7" s="1650" t="s">
        <v>25</v>
      </c>
      <c r="W7" s="1651">
        <f t="shared" ref="W7:W15" si="2">J7</f>
        <v>0</v>
      </c>
      <c r="X7" s="1652"/>
      <c r="Y7" s="3630" t="s">
        <v>2202</v>
      </c>
      <c r="Z7" s="3631"/>
      <c r="AA7" s="1653" t="e">
        <f>D7/F7</f>
        <v>#DIV/0!</v>
      </c>
      <c r="AB7" s="1653" t="e">
        <f>D7/H7</f>
        <v>#DIV/0!</v>
      </c>
      <c r="AC7" s="1653" t="e">
        <f>D7/J7</f>
        <v>#DIV/0!</v>
      </c>
    </row>
    <row r="8" spans="1:30" s="1654" customFormat="1" ht="15.75" thickBot="1">
      <c r="A8" s="1642" t="s">
        <v>2203</v>
      </c>
      <c r="B8" s="1643"/>
      <c r="C8" s="1655" t="s">
        <v>2388</v>
      </c>
      <c r="D8" s="1645">
        <v>100</v>
      </c>
      <c r="E8" s="1655"/>
      <c r="F8" s="1647">
        <f>SUMIF(73:73,E8,74:74)-SUMIF(73:73,C8,74:74)+100</f>
        <v>0</v>
      </c>
      <c r="G8" s="1655"/>
      <c r="H8" s="1645">
        <f>SUMIF(73:73,G8,74:74)-SUMIF(73:73,C8,74:74)+100</f>
        <v>0</v>
      </c>
      <c r="I8" s="1655"/>
      <c r="J8" s="1645">
        <f>SUMIF(73:73,I8,74:74)-SUMIF(73:73,C8,74:74)+100</f>
        <v>0</v>
      </c>
      <c r="K8" s="1937"/>
      <c r="L8" s="2964"/>
      <c r="M8" s="2937"/>
      <c r="N8" s="2937"/>
      <c r="O8" s="2937"/>
      <c r="P8" s="3630" t="s">
        <v>2205</v>
      </c>
      <c r="Q8" s="3631"/>
      <c r="R8" s="1650" t="s">
        <v>25</v>
      </c>
      <c r="S8" s="1651">
        <f t="shared" si="0"/>
        <v>0</v>
      </c>
      <c r="T8" s="1650" t="s">
        <v>25</v>
      </c>
      <c r="U8" s="1651">
        <f t="shared" si="1"/>
        <v>0</v>
      </c>
      <c r="V8" s="1650" t="s">
        <v>25</v>
      </c>
      <c r="W8" s="1651">
        <f t="shared" si="2"/>
        <v>0</v>
      </c>
      <c r="X8" s="1652"/>
      <c r="Y8" s="3630" t="s">
        <v>2205</v>
      </c>
      <c r="Z8" s="3631"/>
      <c r="AA8" s="1653" t="e">
        <f t="shared" ref="AA8:AA45" si="3">D8/F8</f>
        <v>#DIV/0!</v>
      </c>
      <c r="AB8" s="1653" t="e">
        <f t="shared" ref="AB8:AB45" si="4">D8/H8</f>
        <v>#DIV/0!</v>
      </c>
      <c r="AC8" s="1653" t="e">
        <f t="shared" ref="AC8:AC45" si="5">D8/J8</f>
        <v>#DIV/0!</v>
      </c>
    </row>
    <row r="9" spans="1:30" s="1654" customFormat="1">
      <c r="A9" s="1605" t="s">
        <v>2206</v>
      </c>
      <c r="B9" s="1657" t="s">
        <v>2207</v>
      </c>
      <c r="C9" s="1938"/>
      <c r="D9" s="1659">
        <v>100</v>
      </c>
      <c r="E9" s="1938"/>
      <c r="F9" s="1659">
        <f>SUMIF(75:75,E9,76:76)-SUMIF(75:75,C9,76:76)+100</f>
        <v>100</v>
      </c>
      <c r="G9" s="1938"/>
      <c r="H9" s="1659">
        <f>SUMIF(75:75,G9,76:76)-SUMIF(75:75,C9,76:76)+100</f>
        <v>100</v>
      </c>
      <c r="I9" s="1938"/>
      <c r="J9" s="1659">
        <f>SUMIF(75:75,I9,76:76)-SUMIF(75:75,C9,76:76)+100</f>
        <v>100</v>
      </c>
      <c r="K9" s="1937"/>
      <c r="L9" s="2964"/>
      <c r="M9" s="2937"/>
      <c r="N9" s="2937"/>
      <c r="O9" s="3011"/>
      <c r="P9" s="3627" t="s">
        <v>2208</v>
      </c>
      <c r="Q9" s="1604" t="str">
        <f t="shared" ref="Q9:Q15" si="6">B9</f>
        <v>用途</v>
      </c>
      <c r="R9" s="1650" t="s">
        <v>25</v>
      </c>
      <c r="S9" s="1651">
        <f t="shared" si="0"/>
        <v>100</v>
      </c>
      <c r="T9" s="1650" t="s">
        <v>25</v>
      </c>
      <c r="U9" s="1651">
        <f t="shared" si="1"/>
        <v>100</v>
      </c>
      <c r="V9" s="1650" t="s">
        <v>25</v>
      </c>
      <c r="W9" s="1651">
        <f t="shared" si="2"/>
        <v>100</v>
      </c>
      <c r="X9" s="1652"/>
      <c r="Y9" s="3486" t="s">
        <v>2209</v>
      </c>
      <c r="Z9" s="1663" t="str">
        <f t="shared" ref="Z9:Z15" si="7">Q9</f>
        <v>用途</v>
      </c>
      <c r="AA9" s="1653">
        <f t="shared" si="3"/>
        <v>1</v>
      </c>
      <c r="AB9" s="1653">
        <f t="shared" si="4"/>
        <v>1</v>
      </c>
      <c r="AC9" s="1653">
        <f t="shared" si="5"/>
        <v>1</v>
      </c>
    </row>
    <row r="10" spans="1:30" s="1671" customFormat="1" ht="27">
      <c r="A10" s="1664"/>
      <c r="B10" s="1665" t="s">
        <v>2210</v>
      </c>
      <c r="C10" s="1677"/>
      <c r="D10" s="1667">
        <v>100</v>
      </c>
      <c r="E10" s="1729"/>
      <c r="F10" s="1667">
        <f>ROUND(100/'数据-取费表'!B14,0)</f>
        <v>121</v>
      </c>
      <c r="G10" s="1727"/>
      <c r="H10" s="1667">
        <f>ROUND(100/'数据-取费表'!B14,0)</f>
        <v>121</v>
      </c>
      <c r="I10" s="1727"/>
      <c r="J10" s="1667">
        <f>ROUND(100/'数据-取费表'!B14,0)</f>
        <v>121</v>
      </c>
      <c r="K10" s="1939"/>
      <c r="L10" s="2966"/>
      <c r="M10" s="2967"/>
      <c r="N10" s="2967"/>
      <c r="O10" s="3012"/>
      <c r="P10" s="3627"/>
      <c r="Q10" s="1604" t="str">
        <f t="shared" si="6"/>
        <v>土地使用年限（年）</v>
      </c>
      <c r="R10" s="1650" t="s">
        <v>25</v>
      </c>
      <c r="S10" s="1651">
        <f t="shared" si="0"/>
        <v>121</v>
      </c>
      <c r="T10" s="1650" t="s">
        <v>25</v>
      </c>
      <c r="U10" s="1651">
        <f t="shared" si="1"/>
        <v>121</v>
      </c>
      <c r="V10" s="1650" t="s">
        <v>25</v>
      </c>
      <c r="W10" s="1651">
        <f t="shared" si="2"/>
        <v>121</v>
      </c>
      <c r="X10" s="1652"/>
      <c r="Y10" s="3486"/>
      <c r="Z10" s="1663" t="str">
        <f t="shared" si="7"/>
        <v>土地使用年限（年）</v>
      </c>
      <c r="AA10" s="1653">
        <f t="shared" si="3"/>
        <v>0.82644628099173556</v>
      </c>
      <c r="AB10" s="1653">
        <f t="shared" si="4"/>
        <v>0.82644628099173556</v>
      </c>
      <c r="AC10" s="1653">
        <f t="shared" si="5"/>
        <v>0.82644628099173556</v>
      </c>
    </row>
    <row r="11" spans="1:30" ht="15">
      <c r="A11" s="1672"/>
      <c r="B11" s="1665" t="s">
        <v>2211</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68"/>
      <c r="M11" s="2965"/>
      <c r="N11" s="2965"/>
      <c r="O11" s="3013"/>
      <c r="P11" s="3627"/>
      <c r="Q11" s="1604" t="str">
        <f t="shared" si="6"/>
        <v>容积率</v>
      </c>
      <c r="R11" s="1650" t="s">
        <v>25</v>
      </c>
      <c r="S11" s="1651" t="e">
        <f t="shared" si="0"/>
        <v>#N/A</v>
      </c>
      <c r="T11" s="1650" t="s">
        <v>25</v>
      </c>
      <c r="U11" s="1651" t="e">
        <f t="shared" si="1"/>
        <v>#N/A</v>
      </c>
      <c r="V11" s="1650" t="s">
        <v>25</v>
      </c>
      <c r="W11" s="1651" t="e">
        <f t="shared" si="2"/>
        <v>#N/A</v>
      </c>
      <c r="X11" s="1652"/>
      <c r="Y11" s="3486"/>
      <c r="Z11" s="1663" t="str">
        <f t="shared" si="7"/>
        <v>容积率</v>
      </c>
      <c r="AA11" s="1653" t="e">
        <f t="shared" si="3"/>
        <v>#N/A</v>
      </c>
      <c r="AB11" s="1653" t="e">
        <f t="shared" si="4"/>
        <v>#N/A</v>
      </c>
      <c r="AC11" s="1653" t="e">
        <f t="shared" si="5"/>
        <v>#N/A</v>
      </c>
    </row>
    <row r="12" spans="1:30" s="1654" customFormat="1" ht="15">
      <c r="A12" s="1675"/>
      <c r="B12" s="1676" t="s">
        <v>2389</v>
      </c>
      <c r="C12" s="1677"/>
      <c r="D12" s="1678">
        <v>100</v>
      </c>
      <c r="E12" s="1729"/>
      <c r="F12" s="1667">
        <f>SUMIF(82:82,E12,83:83)-SUMIF(82:82,C12,83:83)+100</f>
        <v>100</v>
      </c>
      <c r="G12" s="1727"/>
      <c r="H12" s="1667">
        <f>SUMIF(82:82,G12,83:83)-SUMIF(82:82,C12,83:83)+100</f>
        <v>100</v>
      </c>
      <c r="I12" s="1729"/>
      <c r="J12" s="1667">
        <f>SUMIF(82:82,I12,83:83)-SUMIF(82:82,C12,83:83)+100</f>
        <v>100</v>
      </c>
      <c r="K12" s="1939"/>
      <c r="L12" s="2964"/>
      <c r="M12" s="2937"/>
      <c r="N12" s="2937"/>
      <c r="O12" s="3011"/>
      <c r="P12" s="3627"/>
      <c r="Q12" s="1604" t="str">
        <f t="shared" si="6"/>
        <v>配建</v>
      </c>
      <c r="R12" s="1650" t="s">
        <v>25</v>
      </c>
      <c r="S12" s="1651">
        <f t="shared" si="0"/>
        <v>100</v>
      </c>
      <c r="T12" s="1650" t="s">
        <v>25</v>
      </c>
      <c r="U12" s="1651">
        <f t="shared" si="1"/>
        <v>100</v>
      </c>
      <c r="V12" s="1650" t="s">
        <v>25</v>
      </c>
      <c r="W12" s="1651">
        <f t="shared" si="2"/>
        <v>100</v>
      </c>
      <c r="X12" s="1652"/>
      <c r="Y12" s="3486"/>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69"/>
      <c r="M13" s="2965"/>
      <c r="N13" s="2965"/>
      <c r="O13" s="3013"/>
      <c r="P13" s="3627"/>
      <c r="Q13" s="1604">
        <f t="shared" si="6"/>
        <v>111</v>
      </c>
      <c r="R13" s="1650" t="s">
        <v>25</v>
      </c>
      <c r="S13" s="1651">
        <f t="shared" si="0"/>
        <v>100</v>
      </c>
      <c r="T13" s="1650" t="s">
        <v>25</v>
      </c>
      <c r="U13" s="1651">
        <f t="shared" si="1"/>
        <v>100</v>
      </c>
      <c r="V13" s="1650" t="s">
        <v>25</v>
      </c>
      <c r="W13" s="1651">
        <f t="shared" si="2"/>
        <v>100</v>
      </c>
      <c r="X13" s="1652"/>
      <c r="Y13" s="3486"/>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69"/>
      <c r="M14" s="2965"/>
      <c r="N14" s="2965"/>
      <c r="O14" s="3013"/>
      <c r="P14" s="3627"/>
      <c r="Q14" s="1604">
        <f t="shared" si="6"/>
        <v>111</v>
      </c>
      <c r="R14" s="1650" t="s">
        <v>25</v>
      </c>
      <c r="S14" s="1651">
        <f t="shared" si="0"/>
        <v>100</v>
      </c>
      <c r="T14" s="1650" t="s">
        <v>25</v>
      </c>
      <c r="U14" s="1651">
        <f t="shared" si="1"/>
        <v>100</v>
      </c>
      <c r="V14" s="1650" t="s">
        <v>25</v>
      </c>
      <c r="W14" s="1651">
        <f t="shared" si="2"/>
        <v>100</v>
      </c>
      <c r="X14" s="1652"/>
      <c r="Y14" s="3486"/>
      <c r="Z14" s="1663">
        <f t="shared" si="7"/>
        <v>111</v>
      </c>
      <c r="AA14" s="1653">
        <f>D14/F14</f>
        <v>1</v>
      </c>
      <c r="AB14" s="1653">
        <f>D14/H14</f>
        <v>1</v>
      </c>
      <c r="AC14" s="1653">
        <f>D14/J14</f>
        <v>1</v>
      </c>
    </row>
    <row r="15" spans="1:30" ht="99.75">
      <c r="A15" s="1632" t="s">
        <v>2212</v>
      </c>
      <c r="B15" s="1942" t="s">
        <v>1647</v>
      </c>
      <c r="C15" s="1943"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40"/>
      <c r="L15" s="2969"/>
      <c r="M15" s="2965"/>
      <c r="N15" s="2965"/>
      <c r="O15" s="3013"/>
      <c r="P15" s="3655" t="s">
        <v>2213</v>
      </c>
      <c r="Q15" s="1585" t="str">
        <f t="shared" si="6"/>
        <v>居住社区成熟度</v>
      </c>
      <c r="R15" s="1695" t="s">
        <v>25</v>
      </c>
      <c r="S15" s="1696">
        <f t="shared" si="0"/>
        <v>100</v>
      </c>
      <c r="T15" s="1695" t="s">
        <v>25</v>
      </c>
      <c r="U15" s="1696">
        <f t="shared" si="1"/>
        <v>100</v>
      </c>
      <c r="V15" s="1695" t="s">
        <v>25</v>
      </c>
      <c r="W15" s="1696">
        <f t="shared" si="2"/>
        <v>100</v>
      </c>
      <c r="X15" s="1635"/>
      <c r="Y15" s="3655" t="s">
        <v>2213</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69"/>
      <c r="M16" s="2965"/>
      <c r="N16" s="2965"/>
      <c r="O16" s="3013"/>
      <c r="P16" s="3656"/>
      <c r="Q16" s="1585"/>
      <c r="R16" s="1695"/>
      <c r="S16" s="1696"/>
      <c r="T16" s="1695"/>
      <c r="U16" s="1696"/>
      <c r="V16" s="1695"/>
      <c r="W16" s="1696"/>
      <c r="X16" s="1635"/>
      <c r="Y16" s="3656"/>
      <c r="Z16" s="1697"/>
      <c r="AA16" s="1698">
        <v>1</v>
      </c>
      <c r="AB16" s="1698">
        <v>1</v>
      </c>
      <c r="AC16" s="1698">
        <v>1</v>
      </c>
    </row>
    <row r="17" spans="1:29" ht="71.25">
      <c r="A17" s="1637"/>
      <c r="B17" s="1946" t="s">
        <v>2298</v>
      </c>
      <c r="C17" s="1947"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40"/>
      <c r="L17" s="2969"/>
      <c r="M17" s="2965"/>
      <c r="N17" s="2965"/>
      <c r="O17" s="3013"/>
      <c r="P17" s="3656"/>
      <c r="Q17" s="1585" t="str">
        <f>B17</f>
        <v>商业繁华度</v>
      </c>
      <c r="R17" s="1695" t="s">
        <v>25</v>
      </c>
      <c r="S17" s="1696">
        <f>F17</f>
        <v>100</v>
      </c>
      <c r="T17" s="1695" t="s">
        <v>25</v>
      </c>
      <c r="U17" s="1696">
        <f>H17</f>
        <v>100</v>
      </c>
      <c r="V17" s="1695" t="s">
        <v>25</v>
      </c>
      <c r="W17" s="1696">
        <f>J17</f>
        <v>100</v>
      </c>
      <c r="X17" s="1635"/>
      <c r="Y17" s="3656"/>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69"/>
      <c r="M18" s="2965"/>
      <c r="N18" s="2965"/>
      <c r="O18" s="3013"/>
      <c r="P18" s="3656"/>
      <c r="Q18" s="1585"/>
      <c r="R18" s="1695"/>
      <c r="S18" s="1696"/>
      <c r="T18" s="1695"/>
      <c r="U18" s="1696"/>
      <c r="V18" s="1695"/>
      <c r="W18" s="1696"/>
      <c r="X18" s="1635"/>
      <c r="Y18" s="3656"/>
      <c r="Z18" s="1697"/>
      <c r="AA18" s="1698">
        <v>1</v>
      </c>
      <c r="AB18" s="1698">
        <v>1</v>
      </c>
      <c r="AC18" s="1698">
        <v>1</v>
      </c>
    </row>
    <row r="19" spans="1:29" ht="71.25">
      <c r="A19" s="1637"/>
      <c r="B19" s="1946" t="s">
        <v>2327</v>
      </c>
      <c r="C19" s="1947"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40"/>
      <c r="L19" s="2969"/>
      <c r="M19" s="2965"/>
      <c r="N19" s="2965"/>
      <c r="O19" s="3013"/>
      <c r="P19" s="3656"/>
      <c r="Q19" s="1585" t="str">
        <f>B19</f>
        <v>办公集聚程度</v>
      </c>
      <c r="R19" s="1695" t="s">
        <v>25</v>
      </c>
      <c r="S19" s="1696">
        <f>F19</f>
        <v>100</v>
      </c>
      <c r="T19" s="1695" t="s">
        <v>25</v>
      </c>
      <c r="U19" s="1696">
        <f>H19</f>
        <v>100</v>
      </c>
      <c r="V19" s="1695" t="s">
        <v>25</v>
      </c>
      <c r="W19" s="1696">
        <f>J19</f>
        <v>100</v>
      </c>
      <c r="X19" s="1635"/>
      <c r="Y19" s="3656"/>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69"/>
      <c r="M20" s="2965"/>
      <c r="N20" s="2965"/>
      <c r="O20" s="3013"/>
      <c r="P20" s="3656"/>
      <c r="Q20" s="1585"/>
      <c r="R20" s="1695"/>
      <c r="S20" s="1696"/>
      <c r="T20" s="1695"/>
      <c r="U20" s="1696"/>
      <c r="V20" s="1695"/>
      <c r="W20" s="1696"/>
      <c r="X20" s="1635"/>
      <c r="Y20" s="3656"/>
      <c r="Z20" s="1697"/>
      <c r="AA20" s="1698">
        <v>1</v>
      </c>
      <c r="AB20" s="1698">
        <v>1</v>
      </c>
      <c r="AC20" s="1698">
        <v>1</v>
      </c>
    </row>
    <row r="21" spans="1:29" ht="85.5">
      <c r="A21" s="1637"/>
      <c r="B21" s="1946" t="s">
        <v>2350</v>
      </c>
      <c r="C21" s="1950"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40"/>
      <c r="L21" s="2969"/>
      <c r="M21" s="2965"/>
      <c r="N21" s="2965"/>
      <c r="O21" s="3013"/>
      <c r="P21" s="3656"/>
      <c r="Q21" s="1585" t="str">
        <f>B21</f>
        <v>交通便捷度</v>
      </c>
      <c r="R21" s="1695" t="s">
        <v>25</v>
      </c>
      <c r="S21" s="1696">
        <f>F21</f>
        <v>100</v>
      </c>
      <c r="T21" s="1695" t="s">
        <v>25</v>
      </c>
      <c r="U21" s="1696">
        <f>H21</f>
        <v>100</v>
      </c>
      <c r="V21" s="1695" t="s">
        <v>25</v>
      </c>
      <c r="W21" s="1696">
        <f>J21</f>
        <v>100</v>
      </c>
      <c r="X21" s="1635"/>
      <c r="Y21" s="3656"/>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69"/>
      <c r="M22" s="2965"/>
      <c r="N22" s="2965"/>
      <c r="O22" s="3013"/>
      <c r="P22" s="3656"/>
      <c r="Q22" s="1585"/>
      <c r="R22" s="1695"/>
      <c r="S22" s="1696"/>
      <c r="T22" s="1695"/>
      <c r="U22" s="1696"/>
      <c r="V22" s="1695"/>
      <c r="W22" s="1696"/>
      <c r="X22" s="1635"/>
      <c r="Y22" s="3656"/>
      <c r="Z22" s="1697"/>
      <c r="AA22" s="1698">
        <v>1</v>
      </c>
      <c r="AB22" s="1698">
        <v>1</v>
      </c>
      <c r="AC22" s="1698">
        <v>1</v>
      </c>
    </row>
    <row r="23" spans="1:29" ht="15">
      <c r="A23" s="1637"/>
      <c r="B23" s="1427" t="s">
        <v>2390</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69"/>
      <c r="M23" s="2965"/>
      <c r="N23" s="2965"/>
      <c r="O23" s="3013"/>
      <c r="P23" s="3656"/>
      <c r="Q23" s="1585" t="str">
        <f t="shared" ref="Q23:Q37" si="8">B23</f>
        <v>区域土地利用方向</v>
      </c>
      <c r="R23" s="1695" t="s">
        <v>25</v>
      </c>
      <c r="S23" s="1696">
        <f>F23</f>
        <v>100</v>
      </c>
      <c r="T23" s="1695" t="s">
        <v>25</v>
      </c>
      <c r="U23" s="1696">
        <f>H23</f>
        <v>100</v>
      </c>
      <c r="V23" s="1695" t="s">
        <v>25</v>
      </c>
      <c r="W23" s="1696">
        <f>J23</f>
        <v>100</v>
      </c>
      <c r="X23" s="1635"/>
      <c r="Y23" s="3656"/>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69"/>
      <c r="M24" s="2965"/>
      <c r="N24" s="2965"/>
      <c r="O24" s="3013"/>
      <c r="P24" s="3656"/>
      <c r="Q24" s="1585"/>
      <c r="R24" s="1695"/>
      <c r="S24" s="1696"/>
      <c r="T24" s="1695"/>
      <c r="U24" s="1696"/>
      <c r="V24" s="1695"/>
      <c r="W24" s="1696"/>
      <c r="X24" s="1635"/>
      <c r="Y24" s="3656"/>
      <c r="Z24" s="1697"/>
      <c r="AA24" s="1698"/>
      <c r="AB24" s="1698"/>
      <c r="AC24" s="1698"/>
    </row>
    <row r="25" spans="1:29" ht="57">
      <c r="A25" s="1637"/>
      <c r="B25" s="1951" t="s">
        <v>2391</v>
      </c>
      <c r="C25" s="1947"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40"/>
      <c r="L25" s="2969"/>
      <c r="M25" s="2965"/>
      <c r="N25" s="2965"/>
      <c r="O25" s="3013"/>
      <c r="P25" s="3656"/>
      <c r="Q25" s="1585" t="str">
        <f t="shared" si="8"/>
        <v>自然及人文环境状况</v>
      </c>
      <c r="R25" s="1695" t="s">
        <v>25</v>
      </c>
      <c r="S25" s="1696">
        <f>F25</f>
        <v>100</v>
      </c>
      <c r="T25" s="1695" t="s">
        <v>25</v>
      </c>
      <c r="U25" s="1696">
        <f>H25</f>
        <v>100</v>
      </c>
      <c r="V25" s="1695" t="s">
        <v>25</v>
      </c>
      <c r="W25" s="1696">
        <f>J25</f>
        <v>100</v>
      </c>
      <c r="X25" s="1635"/>
      <c r="Y25" s="3656"/>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69"/>
      <c r="M26" s="2965"/>
      <c r="N26" s="2965"/>
      <c r="O26" s="3013"/>
      <c r="P26" s="3656"/>
      <c r="Q26" s="1585"/>
      <c r="R26" s="1695"/>
      <c r="S26" s="1696"/>
      <c r="T26" s="1695"/>
      <c r="U26" s="1696"/>
      <c r="V26" s="1695"/>
      <c r="W26" s="1696"/>
      <c r="X26" s="1635"/>
      <c r="Y26" s="3656"/>
      <c r="Z26" s="1697"/>
      <c r="AA26" s="1698">
        <v>1</v>
      </c>
      <c r="AB26" s="1698">
        <v>1</v>
      </c>
      <c r="AC26" s="1698">
        <v>1</v>
      </c>
    </row>
    <row r="27" spans="1:29" ht="42.75">
      <c r="A27" s="1637"/>
      <c r="B27" s="1951" t="s">
        <v>2299</v>
      </c>
      <c r="C27" s="1950"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69"/>
      <c r="M27" s="2965"/>
      <c r="N27" s="2965"/>
      <c r="O27" s="3013"/>
      <c r="P27" s="3656"/>
      <c r="Q27" s="1604" t="str">
        <f t="shared" ref="Q27" si="9">B27</f>
        <v>公共配套设施</v>
      </c>
      <c r="R27" s="1650" t="s">
        <v>25</v>
      </c>
      <c r="S27" s="1651">
        <f>F27</f>
        <v>100</v>
      </c>
      <c r="T27" s="1650" t="s">
        <v>25</v>
      </c>
      <c r="U27" s="1651">
        <f>H27</f>
        <v>100</v>
      </c>
      <c r="V27" s="1650" t="s">
        <v>25</v>
      </c>
      <c r="W27" s="1651">
        <f>J27</f>
        <v>100</v>
      </c>
      <c r="X27" s="1635"/>
      <c r="Y27" s="3656"/>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69"/>
      <c r="M28" s="2965"/>
      <c r="N28" s="2965"/>
      <c r="O28" s="3013"/>
      <c r="P28" s="3656"/>
      <c r="Q28" s="1585"/>
      <c r="R28" s="1695"/>
      <c r="S28" s="1696"/>
      <c r="T28" s="1695"/>
      <c r="U28" s="1696"/>
      <c r="V28" s="1695"/>
      <c r="W28" s="1696"/>
      <c r="X28" s="1635"/>
      <c r="Y28" s="3656"/>
      <c r="Z28" s="1663"/>
      <c r="AA28" s="1698">
        <v>1</v>
      </c>
      <c r="AB28" s="1698">
        <v>1</v>
      </c>
      <c r="AC28" s="1698">
        <v>1</v>
      </c>
    </row>
    <row r="29" spans="1:29" s="1654" customFormat="1" ht="28.5">
      <c r="A29" s="1957"/>
      <c r="B29" s="1951" t="s">
        <v>2300</v>
      </c>
      <c r="C29" s="1958"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64"/>
      <c r="M29" s="2937"/>
      <c r="N29" s="2937"/>
      <c r="O29" s="3011"/>
      <c r="P29" s="3656"/>
      <c r="Q29" s="1604" t="str">
        <f t="shared" si="8"/>
        <v>基础设施水平</v>
      </c>
      <c r="R29" s="1650" t="s">
        <v>25</v>
      </c>
      <c r="S29" s="1651">
        <f>F29</f>
        <v>100</v>
      </c>
      <c r="T29" s="1650" t="s">
        <v>25</v>
      </c>
      <c r="U29" s="1651">
        <f>H29</f>
        <v>100</v>
      </c>
      <c r="V29" s="1650" t="s">
        <v>25</v>
      </c>
      <c r="W29" s="1651">
        <f>J29</f>
        <v>100</v>
      </c>
      <c r="X29" s="1652"/>
      <c r="Y29" s="3656"/>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64"/>
      <c r="M30" s="2937"/>
      <c r="N30" s="2937"/>
      <c r="O30" s="3011"/>
      <c r="P30" s="3656"/>
      <c r="Q30" s="1604"/>
      <c r="R30" s="1650"/>
      <c r="S30" s="1651"/>
      <c r="T30" s="1650"/>
      <c r="U30" s="1651"/>
      <c r="V30" s="1650"/>
      <c r="W30" s="1651"/>
      <c r="X30" s="1652"/>
      <c r="Y30" s="3656"/>
      <c r="Z30" s="1663"/>
      <c r="AA30" s="1698">
        <v>1</v>
      </c>
      <c r="AB30" s="1698">
        <v>1</v>
      </c>
      <c r="AC30" s="1698">
        <v>1</v>
      </c>
    </row>
    <row r="31" spans="1:29" ht="15">
      <c r="A31" s="1637"/>
      <c r="B31" s="1948" t="s">
        <v>2301</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69"/>
      <c r="M31" s="2965"/>
      <c r="N31" s="2965"/>
      <c r="O31" s="3013"/>
      <c r="P31" s="3656"/>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656"/>
      <c r="Z31" s="1697" t="str">
        <f t="shared" ref="Z31:Z45" si="13">Q31</f>
        <v>临街状况</v>
      </c>
      <c r="AA31" s="1698">
        <f t="shared" si="3"/>
        <v>1</v>
      </c>
      <c r="AB31" s="1698">
        <f t="shared" si="4"/>
        <v>1</v>
      </c>
      <c r="AC31" s="1698">
        <f t="shared" si="5"/>
        <v>1</v>
      </c>
    </row>
    <row r="32" spans="1:29" ht="27">
      <c r="A32" s="1637"/>
      <c r="B32" s="1951" t="s">
        <v>2331</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69"/>
      <c r="M32" s="2965"/>
      <c r="N32" s="2965"/>
      <c r="O32" s="3013"/>
      <c r="P32" s="3656"/>
      <c r="Q32" s="1585" t="str">
        <f t="shared" si="8"/>
        <v>毗邻道路的类型与等级</v>
      </c>
      <c r="R32" s="1695" t="s">
        <v>25</v>
      </c>
      <c r="S32" s="1696">
        <f t="shared" si="10"/>
        <v>100</v>
      </c>
      <c r="T32" s="1695" t="s">
        <v>25</v>
      </c>
      <c r="U32" s="1696">
        <f t="shared" si="11"/>
        <v>100</v>
      </c>
      <c r="V32" s="1695" t="s">
        <v>25</v>
      </c>
      <c r="W32" s="1696">
        <f t="shared" si="12"/>
        <v>100</v>
      </c>
      <c r="X32" s="1635"/>
      <c r="Y32" s="3656"/>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69"/>
      <c r="M33" s="2965"/>
      <c r="N33" s="2965"/>
      <c r="O33" s="3013"/>
      <c r="P33" s="3656"/>
      <c r="Q33" s="1585"/>
      <c r="R33" s="1695"/>
      <c r="S33" s="1696"/>
      <c r="T33" s="1695"/>
      <c r="U33" s="1696"/>
      <c r="V33" s="1695"/>
      <c r="W33" s="1696"/>
      <c r="X33" s="1635"/>
      <c r="Y33" s="3656"/>
      <c r="Z33" s="1697"/>
      <c r="AA33" s="1698">
        <v>1</v>
      </c>
      <c r="AB33" s="1698">
        <v>1</v>
      </c>
      <c r="AC33" s="1698">
        <v>1</v>
      </c>
    </row>
    <row r="34" spans="1:29" ht="15">
      <c r="A34" s="1637"/>
      <c r="B34" s="1960" t="s">
        <v>2392</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69"/>
      <c r="M34" s="2965"/>
      <c r="N34" s="2965"/>
      <c r="O34" s="3013"/>
      <c r="P34" s="3656"/>
      <c r="Q34" s="1585" t="str">
        <f t="shared" si="8"/>
        <v>土地级别</v>
      </c>
      <c r="R34" s="1695" t="s">
        <v>25</v>
      </c>
      <c r="S34" s="1696">
        <f t="shared" si="10"/>
        <v>100</v>
      </c>
      <c r="T34" s="1695" t="s">
        <v>25</v>
      </c>
      <c r="U34" s="1696">
        <f t="shared" si="11"/>
        <v>100</v>
      </c>
      <c r="V34" s="1695" t="s">
        <v>25</v>
      </c>
      <c r="W34" s="1696">
        <f t="shared" si="12"/>
        <v>100</v>
      </c>
      <c r="X34" s="1635"/>
      <c r="Y34" s="3656"/>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69"/>
      <c r="M35" s="2965"/>
      <c r="N35" s="2965"/>
      <c r="O35" s="3013"/>
      <c r="P35" s="3656"/>
      <c r="Q35" s="1585">
        <f t="shared" si="8"/>
        <v>111</v>
      </c>
      <c r="R35" s="1695" t="s">
        <v>25</v>
      </c>
      <c r="S35" s="1696">
        <f t="shared" si="10"/>
        <v>100</v>
      </c>
      <c r="T35" s="1695" t="s">
        <v>25</v>
      </c>
      <c r="U35" s="1696">
        <f t="shared" si="11"/>
        <v>100</v>
      </c>
      <c r="V35" s="1695" t="s">
        <v>25</v>
      </c>
      <c r="W35" s="1696">
        <f t="shared" si="12"/>
        <v>100</v>
      </c>
      <c r="X35" s="1635"/>
      <c r="Y35" s="3656"/>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69"/>
      <c r="M36" s="2965"/>
      <c r="N36" s="2965"/>
      <c r="O36" s="3013"/>
      <c r="P36" s="3657" t="s">
        <v>2219</v>
      </c>
      <c r="Q36" s="1585">
        <f t="shared" si="8"/>
        <v>111</v>
      </c>
      <c r="R36" s="1695" t="s">
        <v>25</v>
      </c>
      <c r="S36" s="1696">
        <f t="shared" si="10"/>
        <v>100</v>
      </c>
      <c r="T36" s="1695" t="s">
        <v>25</v>
      </c>
      <c r="U36" s="1696">
        <f t="shared" si="11"/>
        <v>100</v>
      </c>
      <c r="V36" s="1695" t="s">
        <v>25</v>
      </c>
      <c r="W36" s="1696">
        <f t="shared" si="12"/>
        <v>100</v>
      </c>
      <c r="X36" s="1635"/>
      <c r="Y36" s="3658" t="s">
        <v>2219</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68"/>
      <c r="M37" s="2029"/>
      <c r="N37" s="2029"/>
      <c r="O37" s="3014"/>
      <c r="P37" s="3658"/>
      <c r="Q37" s="1585">
        <f t="shared" si="8"/>
        <v>111</v>
      </c>
      <c r="R37" s="1737" t="s">
        <v>25</v>
      </c>
      <c r="S37" s="1738">
        <f t="shared" si="10"/>
        <v>100</v>
      </c>
      <c r="T37" s="1737" t="s">
        <v>25</v>
      </c>
      <c r="U37" s="1738">
        <f t="shared" si="11"/>
        <v>100</v>
      </c>
      <c r="V37" s="1737" t="s">
        <v>25</v>
      </c>
      <c r="W37" s="1738">
        <f t="shared" si="12"/>
        <v>100</v>
      </c>
      <c r="X37" s="1739"/>
      <c r="Y37" s="3658"/>
      <c r="Z37" s="1740">
        <f t="shared" si="13"/>
        <v>111</v>
      </c>
      <c r="AA37" s="1698">
        <f t="shared" si="3"/>
        <v>1</v>
      </c>
      <c r="AB37" s="1698">
        <f t="shared" si="4"/>
        <v>1</v>
      </c>
      <c r="AC37" s="1698">
        <f t="shared" si="5"/>
        <v>1</v>
      </c>
    </row>
    <row r="38" spans="1:29" ht="15">
      <c r="A38" s="1632" t="s">
        <v>2217</v>
      </c>
      <c r="B38" s="1713" t="s">
        <v>2393</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69"/>
      <c r="M38" s="2965"/>
      <c r="N38" s="2965"/>
      <c r="O38" s="3013"/>
      <c r="P38" s="3658"/>
      <c r="Q38" s="1585" t="str">
        <f>B38</f>
        <v>宗地面积</v>
      </c>
      <c r="R38" s="1695" t="s">
        <v>25</v>
      </c>
      <c r="S38" s="1696" t="e">
        <f t="shared" si="10"/>
        <v>#N/A</v>
      </c>
      <c r="T38" s="1695" t="s">
        <v>25</v>
      </c>
      <c r="U38" s="1696" t="e">
        <f t="shared" si="11"/>
        <v>#N/A</v>
      </c>
      <c r="V38" s="1695" t="s">
        <v>25</v>
      </c>
      <c r="W38" s="1696" t="e">
        <f t="shared" si="12"/>
        <v>#N/A</v>
      </c>
      <c r="X38" s="1635"/>
      <c r="Y38" s="3658"/>
      <c r="Z38" s="1697" t="str">
        <f t="shared" si="13"/>
        <v>宗地面积</v>
      </c>
      <c r="AA38" s="1698" t="e">
        <f t="shared" si="3"/>
        <v>#N/A</v>
      </c>
      <c r="AB38" s="1698" t="e">
        <f t="shared" si="4"/>
        <v>#N/A</v>
      </c>
      <c r="AC38" s="1698" t="e">
        <f t="shared" si="5"/>
        <v>#N/A</v>
      </c>
    </row>
    <row r="39" spans="1:29" ht="15">
      <c r="A39" s="1742"/>
      <c r="B39" s="1665" t="s">
        <v>2394</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69"/>
      <c r="M39" s="2965"/>
      <c r="N39" s="2965"/>
      <c r="O39" s="3013"/>
      <c r="P39" s="3658"/>
      <c r="Q39" s="1585" t="str">
        <f t="shared" ref="Q39:Q45" si="14">B39</f>
        <v>宗地形状</v>
      </c>
      <c r="R39" s="1695" t="s">
        <v>25</v>
      </c>
      <c r="S39" s="1696">
        <f t="shared" si="10"/>
        <v>100</v>
      </c>
      <c r="T39" s="1695" t="s">
        <v>25</v>
      </c>
      <c r="U39" s="1696">
        <f t="shared" si="11"/>
        <v>100</v>
      </c>
      <c r="V39" s="1695" t="s">
        <v>25</v>
      </c>
      <c r="W39" s="1696">
        <f t="shared" si="12"/>
        <v>100</v>
      </c>
      <c r="X39" s="1635"/>
      <c r="Y39" s="3658"/>
      <c r="Z39" s="1697" t="str">
        <f t="shared" si="13"/>
        <v>宗地形状</v>
      </c>
      <c r="AA39" s="1698">
        <f t="shared" si="3"/>
        <v>1</v>
      </c>
      <c r="AB39" s="1698">
        <f t="shared" si="4"/>
        <v>1</v>
      </c>
      <c r="AC39" s="1698">
        <f t="shared" si="5"/>
        <v>1</v>
      </c>
    </row>
    <row r="40" spans="1:29" ht="15">
      <c r="A40" s="1742"/>
      <c r="B40" s="1665" t="s">
        <v>2395</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69"/>
      <c r="M40" s="2965"/>
      <c r="N40" s="2965"/>
      <c r="O40" s="3013"/>
      <c r="P40" s="3658"/>
      <c r="Q40" s="1585" t="str">
        <f t="shared" si="14"/>
        <v>临街宽度及深度</v>
      </c>
      <c r="R40" s="1695" t="s">
        <v>25</v>
      </c>
      <c r="S40" s="1696">
        <f t="shared" si="10"/>
        <v>100</v>
      </c>
      <c r="T40" s="1695" t="s">
        <v>25</v>
      </c>
      <c r="U40" s="1696">
        <f t="shared" si="11"/>
        <v>100</v>
      </c>
      <c r="V40" s="1695" t="s">
        <v>25</v>
      </c>
      <c r="W40" s="1696">
        <f t="shared" si="12"/>
        <v>100</v>
      </c>
      <c r="X40" s="1635"/>
      <c r="Y40" s="3658"/>
      <c r="Z40" s="1697" t="str">
        <f t="shared" si="13"/>
        <v>临街宽度及深度</v>
      </c>
      <c r="AA40" s="1698">
        <f t="shared" si="3"/>
        <v>1</v>
      </c>
      <c r="AB40" s="1698">
        <f t="shared" si="4"/>
        <v>1</v>
      </c>
      <c r="AC40" s="1698">
        <f t="shared" si="5"/>
        <v>1</v>
      </c>
    </row>
    <row r="41" spans="1:29" s="1654" customFormat="1" ht="15">
      <c r="A41" s="1745"/>
      <c r="B41" s="1665" t="s">
        <v>2396</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64"/>
      <c r="M41" s="2937"/>
      <c r="N41" s="2937"/>
      <c r="O41" s="3011"/>
      <c r="P41" s="3658"/>
      <c r="Q41" s="1585" t="str">
        <f t="shared" si="14"/>
        <v>宗地开发程度</v>
      </c>
      <c r="R41" s="1650" t="s">
        <v>25</v>
      </c>
      <c r="S41" s="1651">
        <f t="shared" si="10"/>
        <v>100</v>
      </c>
      <c r="T41" s="1650" t="s">
        <v>25</v>
      </c>
      <c r="U41" s="1651">
        <f t="shared" si="11"/>
        <v>100</v>
      </c>
      <c r="V41" s="1650" t="s">
        <v>25</v>
      </c>
      <c r="W41" s="1651">
        <f t="shared" si="12"/>
        <v>100</v>
      </c>
      <c r="X41" s="1652"/>
      <c r="Y41" s="3658"/>
      <c r="Z41" s="1663" t="str">
        <f t="shared" si="13"/>
        <v>宗地开发程度</v>
      </c>
      <c r="AA41" s="1653">
        <f t="shared" si="3"/>
        <v>1</v>
      </c>
      <c r="AB41" s="1653">
        <f t="shared" si="4"/>
        <v>1</v>
      </c>
      <c r="AC41" s="1653">
        <f t="shared" si="5"/>
        <v>1</v>
      </c>
    </row>
    <row r="42" spans="1:29" ht="15">
      <c r="A42" s="1742"/>
      <c r="B42" s="1665" t="s">
        <v>2397</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69"/>
      <c r="M42" s="2965"/>
      <c r="N42" s="2965"/>
      <c r="O42" s="3013"/>
      <c r="P42" s="3658" t="s">
        <v>2219</v>
      </c>
      <c r="Q42" s="1585" t="str">
        <f t="shared" si="14"/>
        <v>工程地质条件</v>
      </c>
      <c r="R42" s="1695" t="s">
        <v>25</v>
      </c>
      <c r="S42" s="1696">
        <f t="shared" si="10"/>
        <v>100</v>
      </c>
      <c r="T42" s="1695" t="s">
        <v>25</v>
      </c>
      <c r="U42" s="1696">
        <f t="shared" si="11"/>
        <v>100</v>
      </c>
      <c r="V42" s="1695" t="s">
        <v>25</v>
      </c>
      <c r="W42" s="1696">
        <f t="shared" si="12"/>
        <v>100</v>
      </c>
      <c r="X42" s="1635"/>
      <c r="Y42" s="3658" t="s">
        <v>2219</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69"/>
      <c r="M43" s="2965"/>
      <c r="N43" s="2965"/>
      <c r="O43" s="3013"/>
      <c r="P43" s="3658"/>
      <c r="Q43" s="1585">
        <f t="shared" si="14"/>
        <v>111</v>
      </c>
      <c r="R43" s="1695" t="s">
        <v>25</v>
      </c>
      <c r="S43" s="1696">
        <f t="shared" si="10"/>
        <v>100</v>
      </c>
      <c r="T43" s="1695" t="s">
        <v>25</v>
      </c>
      <c r="U43" s="1696">
        <f t="shared" si="11"/>
        <v>100</v>
      </c>
      <c r="V43" s="1695" t="s">
        <v>25</v>
      </c>
      <c r="W43" s="1696">
        <f t="shared" si="12"/>
        <v>100</v>
      </c>
      <c r="X43" s="1635"/>
      <c r="Y43" s="3658"/>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69"/>
      <c r="M44" s="2965"/>
      <c r="N44" s="2965"/>
      <c r="O44" s="3013"/>
      <c r="P44" s="3658"/>
      <c r="Q44" s="1585">
        <f t="shared" si="14"/>
        <v>111</v>
      </c>
      <c r="R44" s="1695" t="s">
        <v>25</v>
      </c>
      <c r="S44" s="1696">
        <f t="shared" si="10"/>
        <v>100</v>
      </c>
      <c r="T44" s="1695" t="s">
        <v>25</v>
      </c>
      <c r="U44" s="1696">
        <f t="shared" si="11"/>
        <v>100</v>
      </c>
      <c r="V44" s="1695" t="s">
        <v>25</v>
      </c>
      <c r="W44" s="1696">
        <f t="shared" si="12"/>
        <v>100</v>
      </c>
      <c r="X44" s="1635"/>
      <c r="Y44" s="3658"/>
      <c r="Z44" s="1697">
        <f t="shared" si="13"/>
        <v>111</v>
      </c>
      <c r="AA44" s="1698">
        <f t="shared" si="3"/>
        <v>1</v>
      </c>
      <c r="AB44" s="1698">
        <f t="shared" si="4"/>
        <v>1</v>
      </c>
      <c r="AC44" s="1698">
        <f t="shared" si="5"/>
        <v>1</v>
      </c>
    </row>
    <row r="45" spans="1:29" s="1741" customFormat="1" ht="15.75" thickBot="1">
      <c r="A45" s="1734"/>
      <c r="B45" s="1973">
        <v>111</v>
      </c>
      <c r="C45" s="1974"/>
      <c r="D45" s="3115">
        <v>100</v>
      </c>
      <c r="E45" s="1941"/>
      <c r="F45" s="1685">
        <f>SUMIF(131:131,E45,132:132)-SUMIF(131:131,C45,132:132)+100</f>
        <v>100</v>
      </c>
      <c r="G45" s="1941"/>
      <c r="H45" s="1685">
        <f>SUMIF(131:131,G45,132:132)-SUMIF(131:131,C45,132:132)+100</f>
        <v>100</v>
      </c>
      <c r="I45" s="1941"/>
      <c r="J45" s="1685">
        <f>SUMIF(131:131,I45,132:132)-SUMIF(131:131,C45,132:132)+100</f>
        <v>100</v>
      </c>
      <c r="K45" s="1975"/>
      <c r="L45" s="2968"/>
      <c r="M45" s="2029"/>
      <c r="N45" s="2029"/>
      <c r="O45" s="3014"/>
      <c r="P45" s="3658"/>
      <c r="Q45" s="1585">
        <f t="shared" si="14"/>
        <v>111</v>
      </c>
      <c r="R45" s="1737" t="s">
        <v>25</v>
      </c>
      <c r="S45" s="1738">
        <f t="shared" si="10"/>
        <v>100</v>
      </c>
      <c r="T45" s="1737" t="s">
        <v>25</v>
      </c>
      <c r="U45" s="1738">
        <f t="shared" si="11"/>
        <v>100</v>
      </c>
      <c r="V45" s="1737" t="s">
        <v>25</v>
      </c>
      <c r="W45" s="1738">
        <f t="shared" si="12"/>
        <v>100</v>
      </c>
      <c r="X45" s="1739"/>
      <c r="Y45" s="3658"/>
      <c r="Z45" s="1740">
        <f t="shared" si="13"/>
        <v>111</v>
      </c>
      <c r="AA45" s="1698">
        <f t="shared" si="3"/>
        <v>1</v>
      </c>
      <c r="AB45" s="1698">
        <f t="shared" si="4"/>
        <v>1</v>
      </c>
      <c r="AC45" s="1698">
        <f t="shared" si="5"/>
        <v>1</v>
      </c>
    </row>
    <row r="46" spans="1:29" ht="15">
      <c r="A46" s="1751" t="s">
        <v>2361</v>
      </c>
      <c r="B46" s="1976" t="s">
        <v>2398</v>
      </c>
      <c r="C46" s="1977" t="s">
        <v>1</v>
      </c>
      <c r="D46" s="1978"/>
      <c r="E46" s="1979"/>
      <c r="F46" s="1980"/>
      <c r="G46" s="1981"/>
      <c r="H46" s="1982"/>
      <c r="I46" s="1979"/>
      <c r="J46" s="1982"/>
      <c r="K46" s="1983"/>
      <c r="L46" s="2970"/>
      <c r="N46" s="2965"/>
      <c r="P46" s="3627" t="str">
        <f>A46</f>
        <v>成交单价</v>
      </c>
      <c r="Q46" s="3627"/>
      <c r="R46" s="3651">
        <f>E46</f>
        <v>0</v>
      </c>
      <c r="S46" s="3651"/>
      <c r="T46" s="3651">
        <f>G46</f>
        <v>0</v>
      </c>
      <c r="U46" s="3651"/>
      <c r="V46" s="3651">
        <f>I46</f>
        <v>0</v>
      </c>
      <c r="W46" s="3651"/>
      <c r="X46" s="1761"/>
      <c r="Y46" s="1762"/>
      <c r="Z46" s="1761"/>
      <c r="AA46" s="1761"/>
      <c r="AB46" s="1761"/>
      <c r="AC46" s="1761"/>
    </row>
    <row r="47" spans="1:29" ht="15.75" thickBot="1">
      <c r="A47" s="1763" t="s">
        <v>2314</v>
      </c>
      <c r="B47" s="1984"/>
      <c r="C47" s="1985" t="e">
        <f>R48</f>
        <v>#DIV/0!</v>
      </c>
      <c r="D47" s="1766" t="s">
        <v>2688</v>
      </c>
      <c r="E47" s="1985" t="e">
        <f>R47</f>
        <v>#DIV/0!</v>
      </c>
      <c r="F47" s="1768"/>
      <c r="G47" s="1986" t="e">
        <f>T47</f>
        <v>#DIV/0!</v>
      </c>
      <c r="H47" s="1768"/>
      <c r="I47" s="1985" t="e">
        <f>V47</f>
        <v>#DIV/0!</v>
      </c>
      <c r="J47" s="1768"/>
      <c r="K47" s="2480">
        <f>F47+H47+J47</f>
        <v>0</v>
      </c>
      <c r="L47" s="2970"/>
      <c r="P47" s="3627" t="str">
        <f>A47</f>
        <v>比较价值（元/平方米）</v>
      </c>
      <c r="Q47" s="3627"/>
      <c r="R47" s="3699" t="e">
        <f>ROUND(PRODUCT(R46,AA7:AA45),0)</f>
        <v>#DIV/0!</v>
      </c>
      <c r="S47" s="3699"/>
      <c r="T47" s="3699" t="e">
        <f>ROUND(PRODUCT(T46,AB7:AB45),0)</f>
        <v>#DIV/0!</v>
      </c>
      <c r="U47" s="3699"/>
      <c r="V47" s="3699" t="e">
        <f>ROUND(PRODUCT(V46,AC7:AC45),0)</f>
        <v>#DIV/0!</v>
      </c>
      <c r="W47" s="3699"/>
      <c r="X47" s="1761"/>
      <c r="Y47" s="1761"/>
      <c r="Z47" s="1761"/>
      <c r="AA47" s="1761"/>
      <c r="AB47" s="1761"/>
      <c r="AC47" s="1761"/>
    </row>
    <row r="48" spans="1:29" ht="15.75" thickBot="1">
      <c r="A48" s="1769" t="s">
        <v>2337</v>
      </c>
      <c r="B48" s="1770"/>
      <c r="C48" s="1987" t="e">
        <f>R48</f>
        <v>#DIV/0!</v>
      </c>
      <c r="D48" s="1987"/>
      <c r="E48" s="1987"/>
      <c r="F48" s="1987"/>
      <c r="G48" s="1987"/>
      <c r="H48" s="1987"/>
      <c r="I48" s="1987"/>
      <c r="J48" s="1987"/>
      <c r="K48" s="1988"/>
      <c r="L48" s="2970"/>
      <c r="P48" s="3661" t="str">
        <f>A48</f>
        <v>估价对象XX用房的比较价值（楼面单价，元/平方米）</v>
      </c>
      <c r="Q48" s="3662"/>
      <c r="R48" s="3700" t="e">
        <f>ROUND(IF(D47="简单平均",AVERAGE(R47:W47),R47*F47+T47*H47+V47*J47),0)</f>
        <v>#DIV/0!</v>
      </c>
      <c r="S48" s="3700"/>
      <c r="T48" s="3700"/>
      <c r="U48" s="3700"/>
      <c r="V48" s="3700"/>
      <c r="W48" s="3700"/>
      <c r="X48" s="1761"/>
      <c r="Y48" s="1761"/>
      <c r="Z48" s="1761"/>
      <c r="AA48" s="1761"/>
      <c r="AB48" s="1761"/>
      <c r="AC48" s="1761"/>
    </row>
    <row r="49" spans="1:14">
      <c r="G49" s="2974"/>
    </row>
    <row r="51" spans="1:14" ht="13.5" customHeight="1">
      <c r="C51" s="383" t="s">
        <v>2316</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2317</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2318</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7"/>
      <c r="L53" s="2971"/>
    </row>
    <row r="54" spans="1:14" s="1783" customFormat="1" ht="15" thickBot="1">
      <c r="B54" s="2975"/>
      <c r="C54" s="2976"/>
      <c r="K54" s="2977"/>
      <c r="L54" s="2971"/>
    </row>
    <row r="55" spans="1:14" ht="27">
      <c r="A55" s="564" t="s">
        <v>2399</v>
      </c>
      <c r="B55" s="1989" t="s">
        <v>2400</v>
      </c>
      <c r="C55" s="1990" t="s">
        <v>2401</v>
      </c>
      <c r="D55" s="1991" t="s">
        <v>2402</v>
      </c>
      <c r="E55" s="1992" t="s">
        <v>2403</v>
      </c>
      <c r="F55" s="1993" t="s">
        <v>2404</v>
      </c>
      <c r="G55" s="1888" t="s">
        <v>2405</v>
      </c>
      <c r="H55" s="1888" t="str">
        <f>项目基本情况!G8</f>
        <v>XX</v>
      </c>
      <c r="I55" s="1563" t="s">
        <v>2406</v>
      </c>
      <c r="J55" s="1994"/>
      <c r="K55" s="1775"/>
    </row>
    <row r="56" spans="1:14" s="2001" customFormat="1">
      <c r="A56" s="1995" t="s">
        <v>2407</v>
      </c>
      <c r="B56" s="1996" t="e">
        <f>C48</f>
        <v>#DIV/0!</v>
      </c>
      <c r="C56" s="280">
        <v>1</v>
      </c>
      <c r="D56" s="1997">
        <v>1</v>
      </c>
      <c r="E56" s="1998">
        <v>120</v>
      </c>
      <c r="F56" s="1999" t="e">
        <f t="shared" ref="F56:F65" si="15">ROUND(B56*E56,0)</f>
        <v>#DIV/0!</v>
      </c>
      <c r="G56" s="2000">
        <v>1</v>
      </c>
      <c r="H56" s="2000">
        <v>1</v>
      </c>
      <c r="I56" s="1783"/>
      <c r="J56" s="1783"/>
      <c r="K56" s="2977"/>
      <c r="L56" s="2971"/>
      <c r="M56" s="1783"/>
      <c r="N56" s="1783"/>
    </row>
    <row r="57" spans="1:14" s="2001" customFormat="1">
      <c r="A57" s="2002" t="s">
        <v>2408</v>
      </c>
      <c r="B57" s="2003" t="e">
        <f>ROUND($C$48*C57*D57,0)</f>
        <v>#DIV/0!</v>
      </c>
      <c r="C57" s="50">
        <f>IF($C$55="北京市系数",G57,H57)</f>
        <v>0</v>
      </c>
      <c r="D57" s="2004">
        <v>0.25</v>
      </c>
      <c r="E57" s="1998">
        <v>0</v>
      </c>
      <c r="F57" s="1999" t="e">
        <f t="shared" si="15"/>
        <v>#DIV/0!</v>
      </c>
      <c r="G57" s="2000">
        <f>SUMIF(修正!$A$45:$A$56,项目基本情况!$F$9,修正!B45:B56)</f>
        <v>0</v>
      </c>
      <c r="H57" s="2005"/>
      <c r="I57" s="1636"/>
      <c r="J57" s="1879"/>
      <c r="K57" s="1880"/>
      <c r="L57" s="1880"/>
      <c r="M57" s="1636"/>
      <c r="N57" s="1636"/>
    </row>
    <row r="58" spans="1:14" s="2001" customFormat="1">
      <c r="A58" s="2002" t="s">
        <v>2409</v>
      </c>
      <c r="B58" s="2003" t="e">
        <f t="shared" ref="B58:B65" si="16">ROUND($C$48*C58*D58,0)</f>
        <v>#DIV/0!</v>
      </c>
      <c r="C58" s="50">
        <f t="shared" ref="C58:C65" si="17">IF($C$55="北京市系数",G58,H58)</f>
        <v>0</v>
      </c>
      <c r="D58" s="2004">
        <v>0.25</v>
      </c>
      <c r="E58" s="1998">
        <v>0</v>
      </c>
      <c r="F58" s="1999" t="e">
        <f t="shared" si="15"/>
        <v>#DIV/0!</v>
      </c>
      <c r="G58" s="2000">
        <f>SUMIF(修正!$A$45:$A$56,项目基本情况!$F$9,修正!C45:C56)</f>
        <v>0</v>
      </c>
      <c r="H58" s="2005"/>
      <c r="I58" s="1783"/>
      <c r="J58" s="1783"/>
      <c r="K58" s="2977"/>
      <c r="L58" s="2971"/>
      <c r="M58" s="1783"/>
      <c r="N58" s="1783"/>
    </row>
    <row r="59" spans="1:14" s="2001" customFormat="1">
      <c r="A59" s="2002" t="s">
        <v>2410</v>
      </c>
      <c r="B59" s="2003" t="e">
        <f t="shared" si="16"/>
        <v>#DIV/0!</v>
      </c>
      <c r="C59" s="50">
        <f t="shared" si="17"/>
        <v>0</v>
      </c>
      <c r="D59" s="2004">
        <v>0.25</v>
      </c>
      <c r="E59" s="1998">
        <v>0</v>
      </c>
      <c r="F59" s="1999" t="e">
        <f t="shared" si="15"/>
        <v>#DIV/0!</v>
      </c>
      <c r="G59" s="2000">
        <f>SUMIF(修正!$A$45:$A$56,项目基本情况!$F$9,修正!D45:D56)</f>
        <v>0</v>
      </c>
      <c r="H59" s="2005"/>
      <c r="I59" s="1636"/>
      <c r="J59" s="1879"/>
      <c r="K59" s="1880"/>
      <c r="L59" s="1880"/>
      <c r="M59" s="1636"/>
      <c r="N59" s="1636"/>
    </row>
    <row r="60" spans="1:14" s="2001" customFormat="1">
      <c r="A60" s="2002" t="s">
        <v>2411</v>
      </c>
      <c r="B60" s="2003" t="e">
        <f t="shared" si="16"/>
        <v>#DIV/0!</v>
      </c>
      <c r="C60" s="50">
        <f t="shared" si="17"/>
        <v>0</v>
      </c>
      <c r="D60" s="2004">
        <v>0.25</v>
      </c>
      <c r="E60" s="1998">
        <v>0</v>
      </c>
      <c r="F60" s="1999" t="e">
        <f t="shared" si="15"/>
        <v>#DIV/0!</v>
      </c>
      <c r="G60" s="2000">
        <f>SUMIF(修正!$A$45:$A$56,项目基本情况!$F$9,修正!E45:E56)</f>
        <v>0</v>
      </c>
      <c r="H60" s="2005"/>
      <c r="I60" s="1783"/>
      <c r="J60" s="1783"/>
      <c r="K60" s="2977"/>
      <c r="L60" s="2971"/>
      <c r="M60" s="1783"/>
      <c r="N60" s="1783"/>
    </row>
    <row r="61" spans="1:14" s="2001" customFormat="1">
      <c r="A61" s="2002" t="s">
        <v>2412</v>
      </c>
      <c r="B61" s="2003" t="e">
        <f t="shared" si="16"/>
        <v>#DIV/0!</v>
      </c>
      <c r="C61" s="50">
        <f t="shared" si="17"/>
        <v>0</v>
      </c>
      <c r="D61" s="2004">
        <v>0.25</v>
      </c>
      <c r="E61" s="1998">
        <v>0</v>
      </c>
      <c r="F61" s="1999" t="e">
        <f t="shared" si="15"/>
        <v>#DIV/0!</v>
      </c>
      <c r="G61" s="2000">
        <f>SUMIF(修正!A45:A56,项目基本情况!F9,修正!F45:F56)</f>
        <v>0</v>
      </c>
      <c r="H61" s="2005"/>
      <c r="I61" s="1636"/>
      <c r="J61" s="1879"/>
      <c r="K61" s="1880"/>
      <c r="L61" s="1880"/>
      <c r="M61" s="1636"/>
      <c r="N61" s="1636"/>
    </row>
    <row r="62" spans="1:14" s="2001" customFormat="1">
      <c r="A62" s="2002" t="s">
        <v>2413</v>
      </c>
      <c r="B62" s="2003" t="e">
        <f t="shared" si="16"/>
        <v>#DIV/0!</v>
      </c>
      <c r="C62" s="50">
        <f t="shared" si="17"/>
        <v>0</v>
      </c>
      <c r="D62" s="2004">
        <v>0.25</v>
      </c>
      <c r="E62" s="1998">
        <v>0</v>
      </c>
      <c r="F62" s="1999" t="e">
        <f t="shared" si="15"/>
        <v>#DIV/0!</v>
      </c>
      <c r="G62" s="2000">
        <f>SUMIF(修正!A45:A56,项目基本情况!F9,修正!G45:G56)</f>
        <v>0</v>
      </c>
      <c r="H62" s="2005"/>
      <c r="I62" s="1783"/>
      <c r="J62" s="1783"/>
      <c r="K62" s="2977"/>
      <c r="L62" s="2971"/>
      <c r="M62" s="1783"/>
      <c r="N62" s="1783"/>
    </row>
    <row r="63" spans="1:14" s="2001" customFormat="1">
      <c r="A63" s="2002" t="s">
        <v>2414</v>
      </c>
      <c r="B63" s="2003" t="e">
        <f t="shared" si="16"/>
        <v>#DIV/0!</v>
      </c>
      <c r="C63" s="50">
        <f>IF($C$55="北京市系数",G63,H63)</f>
        <v>0</v>
      </c>
      <c r="D63" s="2004">
        <v>0.25</v>
      </c>
      <c r="E63" s="1998">
        <v>0</v>
      </c>
      <c r="F63" s="1999" t="e">
        <f t="shared" si="15"/>
        <v>#DIV/0!</v>
      </c>
      <c r="G63" s="2000">
        <f>SUMIF(修正!A45:A56,项目基本情况!F9,修正!H45:H56)</f>
        <v>0</v>
      </c>
      <c r="H63" s="2005"/>
      <c r="I63" s="1636"/>
      <c r="J63" s="1879"/>
      <c r="K63" s="1880"/>
      <c r="L63" s="1880"/>
      <c r="M63" s="1636"/>
      <c r="N63" s="1636"/>
    </row>
    <row r="64" spans="1:14" s="2001" customFormat="1">
      <c r="A64" s="2002" t="s">
        <v>2415</v>
      </c>
      <c r="B64" s="2003" t="e">
        <f t="shared" si="16"/>
        <v>#DIV/0!</v>
      </c>
      <c r="C64" s="50">
        <f t="shared" si="17"/>
        <v>0</v>
      </c>
      <c r="D64" s="2004">
        <v>0.25</v>
      </c>
      <c r="E64" s="1998">
        <v>0</v>
      </c>
      <c r="F64" s="1999" t="e">
        <f t="shared" si="15"/>
        <v>#DIV/0!</v>
      </c>
      <c r="G64" s="2000">
        <f>G63</f>
        <v>0</v>
      </c>
      <c r="H64" s="2005"/>
      <c r="I64" s="1783"/>
      <c r="J64" s="1783"/>
      <c r="K64" s="2977"/>
      <c r="L64" s="2971"/>
      <c r="M64" s="1783"/>
      <c r="N64" s="1783"/>
    </row>
    <row r="65" spans="1:17" s="2001" customFormat="1">
      <c r="A65" s="2002" t="s">
        <v>2416</v>
      </c>
      <c r="B65" s="2003" t="e">
        <f t="shared" si="16"/>
        <v>#DIV/0!</v>
      </c>
      <c r="C65" s="50">
        <f t="shared" si="17"/>
        <v>0</v>
      </c>
      <c r="D65" s="2004">
        <v>0.25</v>
      </c>
      <c r="E65" s="1998">
        <v>0</v>
      </c>
      <c r="F65" s="1999" t="e">
        <f t="shared" si="15"/>
        <v>#DIV/0!</v>
      </c>
      <c r="G65" s="2000">
        <f>G63</f>
        <v>0</v>
      </c>
      <c r="H65" s="2005"/>
      <c r="I65" s="1636"/>
      <c r="J65" s="1879"/>
      <c r="K65" s="1880"/>
      <c r="L65" s="1880"/>
      <c r="M65" s="1636"/>
      <c r="N65" s="1636"/>
    </row>
    <row r="66" spans="1:17" s="2001" customFormat="1" ht="13.5" thickBot="1">
      <c r="A66" s="2006" t="s">
        <v>2417</v>
      </c>
      <c r="B66" s="2007" t="s">
        <v>39</v>
      </c>
      <c r="C66" s="2007" t="s">
        <v>40</v>
      </c>
      <c r="D66" s="2007" t="s">
        <v>36</v>
      </c>
      <c r="E66" s="2007">
        <f>SUM(E56:E65)</f>
        <v>120</v>
      </c>
      <c r="F66" s="2008" t="e">
        <f>SUM(F56:F65)</f>
        <v>#DIV/0!</v>
      </c>
      <c r="G66" s="2009"/>
      <c r="H66" s="2009"/>
      <c r="I66" s="3015"/>
      <c r="J66" s="3015"/>
      <c r="K66" s="3015"/>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2021-12-1</v>
      </c>
      <c r="D68" s="2010">
        <f>EDATE(C68,-3)</f>
        <v>44440</v>
      </c>
      <c r="E68" s="2010">
        <f t="shared" ref="E68:O68" si="18">EDATE(D68,-3)</f>
        <v>44348</v>
      </c>
      <c r="F68" s="2010">
        <f t="shared" si="18"/>
        <v>44256</v>
      </c>
      <c r="G68" s="2010">
        <f t="shared" si="18"/>
        <v>44166</v>
      </c>
      <c r="H68" s="2010">
        <f t="shared" si="18"/>
        <v>44075</v>
      </c>
      <c r="I68" s="2010">
        <f t="shared" si="18"/>
        <v>43983</v>
      </c>
      <c r="J68" s="2010">
        <f t="shared" si="18"/>
        <v>43891</v>
      </c>
      <c r="K68" s="2010">
        <f t="shared" si="18"/>
        <v>43800</v>
      </c>
      <c r="L68" s="2010">
        <f t="shared" si="18"/>
        <v>43709</v>
      </c>
      <c r="M68" s="2010">
        <f t="shared" si="18"/>
        <v>43617</v>
      </c>
      <c r="N68" s="2010">
        <f t="shared" si="18"/>
        <v>43525</v>
      </c>
      <c r="O68" s="2010">
        <f t="shared" si="18"/>
        <v>43435</v>
      </c>
    </row>
    <row r="69" spans="1:17" ht="21.75" thickBot="1">
      <c r="A69" s="1786" t="s">
        <v>2319</v>
      </c>
      <c r="B69" s="1761"/>
      <c r="C69" s="1787"/>
      <c r="D69" s="1787"/>
      <c r="E69" s="1787"/>
      <c r="F69" s="1787"/>
      <c r="G69" s="1787"/>
      <c r="H69" s="1787"/>
      <c r="I69" s="2012"/>
      <c r="J69" s="2012"/>
      <c r="K69" s="2013"/>
      <c r="L69" s="2014"/>
      <c r="M69" s="2012"/>
      <c r="N69" s="2012"/>
      <c r="O69" s="2012"/>
      <c r="P69" s="2015"/>
      <c r="Q69" s="1791"/>
    </row>
    <row r="70" spans="1:17" s="2020" customFormat="1" ht="15">
      <c r="A70" s="2016" t="s">
        <v>2418</v>
      </c>
      <c r="B70" s="2017"/>
      <c r="C70" s="2018" t="str">
        <f>YEAR(C68)&amp;"-"&amp;ROUNDUP(MONTH(C68)/3,0)</f>
        <v>2021-4</v>
      </c>
      <c r="D70" s="2018" t="str">
        <f>YEAR(D68)&amp;"-"&amp;ROUNDUP(MONTH(D68)/3,0)</f>
        <v>2021-3</v>
      </c>
      <c r="E70" s="2018" t="str">
        <f t="shared" ref="E70:O70" si="19">YEAR(E68)&amp;"-"&amp;ROUNDUP(MONTH(E68)/3,0)</f>
        <v>2021-2</v>
      </c>
      <c r="F70" s="2018" t="str">
        <f t="shared" si="19"/>
        <v>2021-1</v>
      </c>
      <c r="G70" s="2018" t="str">
        <f t="shared" si="19"/>
        <v>2020-4</v>
      </c>
      <c r="H70" s="2018" t="str">
        <f t="shared" si="19"/>
        <v>2020-3</v>
      </c>
      <c r="I70" s="2018" t="str">
        <f t="shared" si="19"/>
        <v>2020-2</v>
      </c>
      <c r="J70" s="2018" t="str">
        <f t="shared" si="19"/>
        <v>2020-1</v>
      </c>
      <c r="K70" s="2018" t="str">
        <f t="shared" si="19"/>
        <v>2019-4</v>
      </c>
      <c r="L70" s="2018" t="str">
        <f t="shared" si="19"/>
        <v>2019-3</v>
      </c>
      <c r="M70" s="2018" t="str">
        <f t="shared" si="19"/>
        <v>2019-2</v>
      </c>
      <c r="N70" s="2018" t="str">
        <f t="shared" si="19"/>
        <v>2019-1</v>
      </c>
      <c r="O70" s="2018" t="str">
        <f t="shared" si="19"/>
        <v>2018-4</v>
      </c>
      <c r="P70" s="2019"/>
    </row>
    <row r="71" spans="1:17" s="1654" customFormat="1" ht="29.25" customHeight="1">
      <c r="A71" s="2021" t="s">
        <v>2419</v>
      </c>
      <c r="B71" s="2022" t="str">
        <f>"北京市平均增长率"&amp;TEXT(SUMIF(基准地价修正!N21:N25,A71,基准地价修正!P21:P25),"0.00%")</f>
        <v>北京市平均增长率1.05%</v>
      </c>
      <c r="C71" s="1875">
        <v>100</v>
      </c>
      <c r="D71" s="1871"/>
      <c r="E71" s="1871"/>
      <c r="F71" s="1871"/>
      <c r="G71" s="1871"/>
      <c r="H71" s="1871"/>
      <c r="I71" s="1871"/>
      <c r="J71" s="1871"/>
      <c r="K71" s="1871"/>
      <c r="L71" s="1871"/>
      <c r="M71" s="2023"/>
      <c r="N71" s="1871"/>
      <c r="O71" s="2024"/>
      <c r="P71" s="1791"/>
    </row>
    <row r="72" spans="1:17" s="1654" customFormat="1" ht="15.75" thickBot="1">
      <c r="A72" s="1804" t="s">
        <v>2239</v>
      </c>
      <c r="B72" s="1805"/>
      <c r="C72" s="1806"/>
      <c r="D72" s="1807"/>
      <c r="E72" s="1807"/>
      <c r="F72" s="1807"/>
      <c r="G72" s="1807"/>
      <c r="H72" s="1807"/>
      <c r="I72" s="1807"/>
      <c r="J72" s="1807"/>
      <c r="K72" s="1807"/>
      <c r="L72" s="1807"/>
      <c r="M72" s="1808"/>
      <c r="N72" s="1807"/>
      <c r="O72" s="2025"/>
      <c r="P72" s="1791"/>
      <c r="Q72" s="1791"/>
    </row>
    <row r="73" spans="1:17" s="1654" customFormat="1" ht="15">
      <c r="A73" s="1809" t="s">
        <v>2203</v>
      </c>
      <c r="B73" s="1799"/>
      <c r="C73" s="1810" t="s">
        <v>2204</v>
      </c>
      <c r="D73" s="409"/>
      <c r="E73" s="409"/>
      <c r="F73" s="409"/>
      <c r="G73" s="409"/>
      <c r="H73" s="409"/>
      <c r="I73" s="409"/>
      <c r="J73" s="409"/>
      <c r="K73" s="409"/>
      <c r="L73" s="409"/>
      <c r="M73" s="1811"/>
      <c r="N73" s="2982"/>
      <c r="O73" s="2982"/>
      <c r="P73" s="2026"/>
      <c r="Q73" s="1791"/>
    </row>
    <row r="74" spans="1:17" s="1654" customFormat="1" ht="15.75" thickBot="1">
      <c r="A74" s="1809"/>
      <c r="B74" s="1799"/>
      <c r="C74" s="1800">
        <v>100</v>
      </c>
      <c r="D74" s="1801"/>
      <c r="E74" s="1801"/>
      <c r="F74" s="1801"/>
      <c r="G74" s="1801"/>
      <c r="H74" s="1801"/>
      <c r="I74" s="1801"/>
      <c r="J74" s="1801"/>
      <c r="K74" s="1801"/>
      <c r="L74" s="1801"/>
      <c r="M74" s="1815"/>
      <c r="N74" s="2982"/>
      <c r="O74" s="2982"/>
      <c r="P74" s="1791"/>
      <c r="Q74" s="1791"/>
    </row>
    <row r="75" spans="1:17">
      <c r="A75" s="1816" t="s">
        <v>2242</v>
      </c>
      <c r="B75" s="1817" t="s">
        <v>2207</v>
      </c>
      <c r="C75" s="1819"/>
      <c r="D75" s="1819"/>
      <c r="E75" s="1819"/>
      <c r="F75" s="1819"/>
      <c r="G75" s="1819"/>
      <c r="H75" s="1819"/>
      <c r="I75" s="1819"/>
      <c r="J75" s="1819"/>
      <c r="K75" s="417"/>
      <c r="L75" s="417"/>
      <c r="M75" s="1820"/>
      <c r="N75" s="2983"/>
      <c r="O75" s="2983"/>
      <c r="P75" s="2027"/>
      <c r="Q75" s="1791"/>
    </row>
    <row r="76" spans="1:17" ht="15.75" thickBot="1">
      <c r="A76" s="1823"/>
      <c r="B76" s="1824"/>
      <c r="C76" s="1825"/>
      <c r="D76" s="1825"/>
      <c r="E76" s="1825"/>
      <c r="F76" s="1825"/>
      <c r="G76" s="1825"/>
      <c r="H76" s="1825"/>
      <c r="I76" s="1825"/>
      <c r="J76" s="1825"/>
      <c r="K76" s="1825"/>
      <c r="L76" s="1825"/>
      <c r="M76" s="1826"/>
      <c r="N76" s="2984"/>
      <c r="O76" s="2984"/>
      <c r="P76" s="2027"/>
      <c r="Q76" s="1791"/>
    </row>
    <row r="77" spans="1:17" ht="27.75" thickTop="1">
      <c r="A77" s="1823"/>
      <c r="B77" s="1828" t="s">
        <v>2210</v>
      </c>
      <c r="C77" s="1829"/>
      <c r="D77" s="1829"/>
      <c r="E77" s="1829"/>
      <c r="F77" s="1829"/>
      <c r="G77" s="1829"/>
      <c r="H77" s="1829"/>
      <c r="I77" s="1829"/>
      <c r="J77" s="1829"/>
      <c r="K77" s="428"/>
      <c r="L77" s="428"/>
      <c r="M77" s="1830"/>
      <c r="N77" s="2983"/>
      <c r="O77" s="2983"/>
      <c r="P77" s="2027"/>
      <c r="Q77" s="1791"/>
    </row>
    <row r="78" spans="1:17" ht="15.75" thickBot="1">
      <c r="A78" s="1823"/>
      <c r="B78" s="1831"/>
      <c r="C78" s="1832"/>
      <c r="D78" s="1832"/>
      <c r="E78" s="1832"/>
      <c r="F78" s="1832"/>
      <c r="G78" s="1832"/>
      <c r="H78" s="1832"/>
      <c r="I78" s="1832"/>
      <c r="J78" s="1832"/>
      <c r="K78" s="1832"/>
      <c r="L78" s="1832"/>
      <c r="M78" s="1833"/>
      <c r="N78" s="2984"/>
      <c r="O78" s="2984"/>
      <c r="P78" s="2027"/>
      <c r="Q78" s="1791"/>
    </row>
    <row r="79" spans="1:17" ht="15.75" thickTop="1">
      <c r="A79" s="1823"/>
      <c r="B79" s="1834" t="s">
        <v>2211</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84"/>
      <c r="O79" s="2984"/>
      <c r="P79" s="2027"/>
      <c r="Q79" s="1791"/>
    </row>
    <row r="80" spans="1:17" ht="15">
      <c r="A80" s="1823"/>
      <c r="B80" s="1836"/>
      <c r="C80" s="1837"/>
      <c r="D80" s="1837"/>
      <c r="E80" s="1837"/>
      <c r="F80" s="1837"/>
      <c r="G80" s="1837"/>
      <c r="H80" s="1837"/>
      <c r="I80" s="1837"/>
      <c r="J80" s="1837"/>
      <c r="K80" s="438"/>
      <c r="L80" s="438"/>
      <c r="M80" s="1838"/>
      <c r="N80" s="2983"/>
      <c r="O80" s="2983"/>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4"/>
      <c r="O81" s="2984"/>
      <c r="P81" s="2027"/>
      <c r="Q81" s="1791"/>
    </row>
    <row r="82" spans="1:17" s="1741" customFormat="1" ht="15.75" thickTop="1">
      <c r="A82" s="1839"/>
      <c r="B82" s="1828" t="str">
        <f>B12</f>
        <v>配建</v>
      </c>
      <c r="C82" s="468"/>
      <c r="D82" s="468"/>
      <c r="E82" s="468"/>
      <c r="F82" s="468"/>
      <c r="G82" s="468"/>
      <c r="H82" s="443"/>
      <c r="I82" s="443"/>
      <c r="J82" s="443"/>
      <c r="K82" s="443"/>
      <c r="L82" s="443"/>
      <c r="M82" s="1840"/>
      <c r="N82" s="2985"/>
      <c r="O82" s="2985"/>
      <c r="P82" s="2028"/>
      <c r="Q82" s="1843"/>
    </row>
    <row r="83" spans="1:17" s="1741" customFormat="1" ht="15.75" thickBot="1">
      <c r="A83" s="1839"/>
      <c r="B83" s="1831"/>
      <c r="C83" s="1844"/>
      <c r="D83" s="1825"/>
      <c r="E83" s="1825"/>
      <c r="F83" s="1825"/>
      <c r="G83" s="1825"/>
      <c r="H83" s="1825"/>
      <c r="I83" s="1825"/>
      <c r="J83" s="1825"/>
      <c r="K83" s="1825"/>
      <c r="L83" s="1825"/>
      <c r="M83" s="1826"/>
      <c r="N83" s="2984"/>
      <c r="O83" s="2984"/>
      <c r="P83" s="2028"/>
      <c r="Q83" s="1843"/>
    </row>
    <row r="84" spans="1:17" s="1741" customFormat="1" ht="15.75" thickTop="1">
      <c r="A84" s="1839"/>
      <c r="B84" s="1828">
        <f>B13</f>
        <v>111</v>
      </c>
      <c r="C84" s="468"/>
      <c r="D84" s="468"/>
      <c r="E84" s="468"/>
      <c r="F84" s="468"/>
      <c r="G84" s="468"/>
      <c r="H84" s="443"/>
      <c r="I84" s="443"/>
      <c r="J84" s="443"/>
      <c r="K84" s="443"/>
      <c r="L84" s="443"/>
      <c r="M84" s="1840"/>
      <c r="N84" s="2985"/>
      <c r="O84" s="2985"/>
      <c r="P84" s="2029"/>
      <c r="Q84" s="1846"/>
    </row>
    <row r="85" spans="1:17" s="1741" customFormat="1" ht="15.75" thickBot="1">
      <c r="A85" s="1839"/>
      <c r="B85" s="1831"/>
      <c r="C85" s="1844"/>
      <c r="D85" s="1844"/>
      <c r="E85" s="1844"/>
      <c r="F85" s="1844"/>
      <c r="G85" s="1844"/>
      <c r="H85" s="1847"/>
      <c r="I85" s="1847"/>
      <c r="J85" s="1847"/>
      <c r="K85" s="1847"/>
      <c r="L85" s="1847"/>
      <c r="M85" s="1848"/>
      <c r="N85" s="2985"/>
      <c r="O85" s="2985"/>
      <c r="P85" s="2028"/>
      <c r="Q85" s="1843"/>
    </row>
    <row r="86" spans="1:17" s="1741" customFormat="1" ht="15.75" thickTop="1">
      <c r="A86" s="1839"/>
      <c r="B86" s="1834">
        <f>B14</f>
        <v>111</v>
      </c>
      <c r="C86" s="409"/>
      <c r="D86" s="409"/>
      <c r="E86" s="409"/>
      <c r="F86" s="409"/>
      <c r="G86" s="409"/>
      <c r="H86" s="453"/>
      <c r="I86" s="453"/>
      <c r="J86" s="453"/>
      <c r="K86" s="453"/>
      <c r="L86" s="453"/>
      <c r="M86" s="1849"/>
      <c r="N86" s="2985"/>
      <c r="O86" s="2985"/>
      <c r="P86" s="2028"/>
      <c r="Q86" s="1843"/>
    </row>
    <row r="87" spans="1:17" s="1741" customFormat="1" ht="15.75" thickBot="1">
      <c r="A87" s="1850"/>
      <c r="B87" s="1851"/>
      <c r="C87" s="1852"/>
      <c r="D87" s="1852"/>
      <c r="E87" s="1852"/>
      <c r="F87" s="1852"/>
      <c r="G87" s="1852"/>
      <c r="H87" s="1853"/>
      <c r="I87" s="1853"/>
      <c r="J87" s="1853"/>
      <c r="K87" s="1853"/>
      <c r="L87" s="1853"/>
      <c r="M87" s="1854"/>
      <c r="N87" s="2985"/>
      <c r="O87" s="2985"/>
      <c r="P87" s="2028"/>
      <c r="Q87" s="1843"/>
    </row>
    <row r="88" spans="1:17">
      <c r="A88" s="1816" t="s">
        <v>2212</v>
      </c>
      <c r="B88" s="1817" t="s">
        <v>2250</v>
      </c>
      <c r="C88" s="1855" t="s">
        <v>2251</v>
      </c>
      <c r="D88" s="1855" t="s">
        <v>2252</v>
      </c>
      <c r="E88" s="1855" t="s">
        <v>2253</v>
      </c>
      <c r="F88" s="1855" t="s">
        <v>2254</v>
      </c>
      <c r="G88" s="1855" t="s">
        <v>2255</v>
      </c>
      <c r="H88" s="1818"/>
      <c r="I88" s="1818"/>
      <c r="J88" s="1818"/>
      <c r="K88" s="463"/>
      <c r="L88" s="463"/>
      <c r="M88" s="1856"/>
      <c r="N88" s="2983"/>
      <c r="O88" s="2983"/>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4"/>
      <c r="O89" s="2984"/>
      <c r="P89" s="2027"/>
      <c r="Q89" s="1791"/>
    </row>
    <row r="90" spans="1:17" ht="15.75" thickTop="1">
      <c r="A90" s="1823"/>
      <c r="B90" s="1828" t="s">
        <v>2420</v>
      </c>
      <c r="C90" s="579" t="s">
        <v>2251</v>
      </c>
      <c r="D90" s="579" t="s">
        <v>2252</v>
      </c>
      <c r="E90" s="579" t="s">
        <v>2253</v>
      </c>
      <c r="F90" s="579" t="s">
        <v>2254</v>
      </c>
      <c r="G90" s="579" t="s">
        <v>2255</v>
      </c>
      <c r="H90" s="1829"/>
      <c r="I90" s="1829"/>
      <c r="J90" s="1829"/>
      <c r="K90" s="428"/>
      <c r="L90" s="428"/>
      <c r="M90" s="1830"/>
      <c r="N90" s="2983"/>
      <c r="O90" s="2983"/>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4"/>
      <c r="O91" s="2984"/>
      <c r="P91" s="2027"/>
      <c r="Q91" s="1791"/>
    </row>
    <row r="92" spans="1:17" ht="15.75" thickTop="1">
      <c r="A92" s="1823"/>
      <c r="B92" s="1828" t="s">
        <v>2338</v>
      </c>
      <c r="C92" s="579" t="s">
        <v>2251</v>
      </c>
      <c r="D92" s="579" t="s">
        <v>2252</v>
      </c>
      <c r="E92" s="579" t="s">
        <v>2253</v>
      </c>
      <c r="F92" s="579" t="s">
        <v>2254</v>
      </c>
      <c r="G92" s="579" t="s">
        <v>2255</v>
      </c>
      <c r="H92" s="1829"/>
      <c r="I92" s="1829"/>
      <c r="J92" s="1829"/>
      <c r="K92" s="428"/>
      <c r="L92" s="428"/>
      <c r="M92" s="1830"/>
      <c r="N92" s="2983"/>
      <c r="O92" s="2983"/>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4"/>
      <c r="O93" s="2984"/>
      <c r="P93" s="2027"/>
      <c r="Q93" s="1791"/>
    </row>
    <row r="94" spans="1:17" ht="15.75" thickTop="1">
      <c r="A94" s="1823"/>
      <c r="B94" s="1828" t="s">
        <v>2256</v>
      </c>
      <c r="C94" s="579" t="s">
        <v>2251</v>
      </c>
      <c r="D94" s="579" t="s">
        <v>2252</v>
      </c>
      <c r="E94" s="579" t="s">
        <v>2253</v>
      </c>
      <c r="F94" s="579" t="s">
        <v>2254</v>
      </c>
      <c r="G94" s="579" t="s">
        <v>2255</v>
      </c>
      <c r="H94" s="1829"/>
      <c r="I94" s="1829"/>
      <c r="J94" s="1829"/>
      <c r="K94" s="428"/>
      <c r="L94" s="428"/>
      <c r="M94" s="1830"/>
      <c r="N94" s="2983"/>
      <c r="O94" s="2983"/>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4"/>
      <c r="O95" s="2984"/>
      <c r="P95" s="2027"/>
      <c r="Q95" s="1791"/>
    </row>
    <row r="96" spans="1:17" s="1654" customFormat="1" ht="15.75" thickTop="1">
      <c r="A96" s="1859"/>
      <c r="B96" s="1828" t="s">
        <v>2421</v>
      </c>
      <c r="C96" s="579" t="s">
        <v>2251</v>
      </c>
      <c r="D96" s="579" t="s">
        <v>2252</v>
      </c>
      <c r="E96" s="579" t="s">
        <v>2253</v>
      </c>
      <c r="F96" s="579" t="s">
        <v>2254</v>
      </c>
      <c r="G96" s="579" t="s">
        <v>2255</v>
      </c>
      <c r="H96" s="579"/>
      <c r="I96" s="579"/>
      <c r="J96" s="579"/>
      <c r="K96" s="579"/>
      <c r="L96" s="579"/>
      <c r="M96" s="2030"/>
      <c r="N96" s="2982"/>
      <c r="O96" s="2982"/>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4"/>
      <c r="O97" s="2984"/>
      <c r="P97" s="2027"/>
      <c r="Q97" s="1791"/>
    </row>
    <row r="98" spans="1:17" s="1654" customFormat="1" ht="27.75" thickTop="1">
      <c r="A98" s="1859"/>
      <c r="B98" s="1828" t="s">
        <v>2422</v>
      </c>
      <c r="C98" s="1855" t="s">
        <v>2251</v>
      </c>
      <c r="D98" s="1855" t="s">
        <v>2252</v>
      </c>
      <c r="E98" s="1855" t="s">
        <v>2253</v>
      </c>
      <c r="F98" s="1855" t="s">
        <v>2254</v>
      </c>
      <c r="G98" s="1855" t="s">
        <v>2255</v>
      </c>
      <c r="H98" s="579"/>
      <c r="I98" s="579"/>
      <c r="J98" s="579"/>
      <c r="K98" s="579"/>
      <c r="L98" s="579"/>
      <c r="M98" s="2030"/>
      <c r="N98" s="2982"/>
      <c r="O98" s="2982"/>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4"/>
      <c r="O99" s="2984"/>
      <c r="P99" s="2027"/>
      <c r="Q99" s="1791"/>
    </row>
    <row r="100" spans="1:17" s="1654" customFormat="1" ht="15.75" thickTop="1">
      <c r="A100" s="1859"/>
      <c r="B100" s="1834" t="s">
        <v>2299</v>
      </c>
      <c r="C100" s="1855" t="s">
        <v>2251</v>
      </c>
      <c r="D100" s="1855" t="s">
        <v>2252</v>
      </c>
      <c r="E100" s="1855" t="s">
        <v>2253</v>
      </c>
      <c r="F100" s="1855" t="s">
        <v>2254</v>
      </c>
      <c r="G100" s="1855" t="s">
        <v>2255</v>
      </c>
      <c r="H100" s="1829"/>
      <c r="I100" s="1829"/>
      <c r="J100" s="1829"/>
      <c r="K100" s="1829"/>
      <c r="L100" s="1829"/>
      <c r="M100" s="1857"/>
      <c r="N100" s="2984"/>
      <c r="O100" s="2984"/>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84"/>
      <c r="O101" s="2984"/>
      <c r="P101" s="2027"/>
      <c r="Q101" s="1791"/>
    </row>
    <row r="102" spans="1:17" s="1741" customFormat="1" ht="15.75" thickTop="1">
      <c r="A102" s="1839"/>
      <c r="B102" s="1828" t="s">
        <v>2300</v>
      </c>
      <c r="C102" s="1829" t="s">
        <v>2258</v>
      </c>
      <c r="D102" s="1829" t="s">
        <v>2259</v>
      </c>
      <c r="E102" s="1829" t="s">
        <v>2260</v>
      </c>
      <c r="F102" s="1829" t="s">
        <v>2261</v>
      </c>
      <c r="G102" s="1829" t="s">
        <v>2262</v>
      </c>
      <c r="H102" s="489"/>
      <c r="I102" s="489"/>
      <c r="J102" s="489"/>
      <c r="K102" s="489"/>
      <c r="L102" s="489"/>
      <c r="M102" s="1874"/>
      <c r="N102" s="2985"/>
      <c r="O102" s="2985"/>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5"/>
      <c r="O103" s="2985"/>
      <c r="P103" s="2028"/>
      <c r="Q103" s="1843"/>
    </row>
    <row r="104" spans="1:17" ht="15.75" thickTop="1">
      <c r="A104" s="1823"/>
      <c r="B104" s="1828" t="str">
        <f>B31</f>
        <v>临街状况</v>
      </c>
      <c r="C104" s="1829" t="s">
        <v>2423</v>
      </c>
      <c r="D104" s="1829" t="s">
        <v>2424</v>
      </c>
      <c r="E104" s="1829" t="s">
        <v>2425</v>
      </c>
      <c r="F104" s="1829" t="s">
        <v>2426</v>
      </c>
      <c r="G104" s="1829"/>
      <c r="H104" s="1829"/>
      <c r="I104" s="1829"/>
      <c r="J104" s="1829"/>
      <c r="K104" s="428"/>
      <c r="L104" s="428"/>
      <c r="M104" s="1830"/>
      <c r="N104" s="2983"/>
      <c r="O104" s="2983"/>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4"/>
      <c r="O105" s="2984"/>
      <c r="P105" s="2027"/>
      <c r="Q105" s="1791"/>
    </row>
    <row r="106" spans="1:17" ht="27.75" thickTop="1">
      <c r="A106" s="1823"/>
      <c r="B106" s="1828" t="s">
        <v>2331</v>
      </c>
      <c r="C106" s="468"/>
      <c r="D106" s="468"/>
      <c r="E106" s="468"/>
      <c r="F106" s="468"/>
      <c r="G106" s="468"/>
      <c r="H106" s="1547"/>
      <c r="I106" s="1547"/>
      <c r="J106" s="1547"/>
      <c r="K106" s="473"/>
      <c r="L106" s="473"/>
      <c r="M106" s="1863"/>
      <c r="N106" s="2983"/>
      <c r="O106" s="2983"/>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4"/>
      <c r="O107" s="2984"/>
      <c r="P107" s="2027"/>
      <c r="Q107" s="1791"/>
    </row>
    <row r="108" spans="1:17" ht="15.75" thickTop="1">
      <c r="A108" s="1823"/>
      <c r="B108" s="1828" t="s">
        <v>2392</v>
      </c>
      <c r="C108" s="1547"/>
      <c r="D108" s="1547"/>
      <c r="E108" s="1547"/>
      <c r="F108" s="1547"/>
      <c r="G108" s="1547"/>
      <c r="H108" s="1547"/>
      <c r="I108" s="1547"/>
      <c r="J108" s="1547"/>
      <c r="K108" s="473"/>
      <c r="L108" s="473"/>
      <c r="M108" s="1863"/>
      <c r="N108" s="2983"/>
      <c r="O108" s="2983"/>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4"/>
      <c r="O109" s="2984"/>
      <c r="P109" s="2027"/>
      <c r="Q109" s="1791"/>
    </row>
    <row r="110" spans="1:17" ht="15.75" thickTop="1">
      <c r="A110" s="1823"/>
      <c r="B110" s="1834">
        <f>B35</f>
        <v>111</v>
      </c>
      <c r="C110" s="468"/>
      <c r="D110" s="468"/>
      <c r="E110" s="468"/>
      <c r="F110" s="468"/>
      <c r="G110" s="1864"/>
      <c r="H110" s="1864"/>
      <c r="I110" s="1864"/>
      <c r="J110" s="1864"/>
      <c r="K110" s="477"/>
      <c r="L110" s="477"/>
      <c r="M110" s="1865"/>
      <c r="N110" s="2983"/>
      <c r="O110" s="2983"/>
      <c r="P110" s="2027"/>
      <c r="Q110" s="1791"/>
    </row>
    <row r="111" spans="1:17" ht="15.75" thickBot="1">
      <c r="A111" s="1823"/>
      <c r="B111" s="1851"/>
      <c r="C111" s="1844"/>
      <c r="D111" s="1844"/>
      <c r="E111" s="1844"/>
      <c r="F111" s="1844"/>
      <c r="G111" s="1867"/>
      <c r="H111" s="1867"/>
      <c r="I111" s="1867"/>
      <c r="J111" s="1867"/>
      <c r="K111" s="1867"/>
      <c r="L111" s="1867"/>
      <c r="M111" s="1868"/>
      <c r="N111" s="2984"/>
      <c r="O111" s="2984"/>
      <c r="P111" s="2027"/>
      <c r="Q111" s="1791"/>
    </row>
    <row r="112" spans="1:17" ht="15" thickTop="1">
      <c r="A112" s="1964"/>
      <c r="B112" s="1828">
        <f>B36</f>
        <v>111</v>
      </c>
      <c r="C112" s="409"/>
      <c r="D112" s="409"/>
      <c r="E112" s="409"/>
      <c r="F112" s="409"/>
      <c r="G112" s="1547"/>
      <c r="H112" s="1547"/>
      <c r="I112" s="1547"/>
      <c r="J112" s="1547"/>
      <c r="K112" s="473"/>
      <c r="L112" s="473"/>
      <c r="M112" s="1863"/>
      <c r="N112" s="2983"/>
      <c r="O112" s="2983"/>
      <c r="P112" s="2027"/>
      <c r="Q112" s="1791"/>
    </row>
    <row r="113" spans="1:17" ht="15.75" thickBot="1">
      <c r="A113" s="1823"/>
      <c r="B113" s="1831"/>
      <c r="C113" s="1852"/>
      <c r="D113" s="1852"/>
      <c r="E113" s="1852"/>
      <c r="F113" s="1852"/>
      <c r="G113" s="1825"/>
      <c r="H113" s="1825"/>
      <c r="I113" s="1825"/>
      <c r="J113" s="1825"/>
      <c r="K113" s="1825"/>
      <c r="L113" s="1825"/>
      <c r="M113" s="1826"/>
      <c r="N113" s="2984"/>
      <c r="O113" s="2984"/>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5"/>
      <c r="O114" s="2985"/>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4"/>
      <c r="O115" s="2984"/>
      <c r="P115" s="2028"/>
      <c r="Q115" s="1843"/>
    </row>
    <row r="116" spans="1:17">
      <c r="A116" s="1816" t="s">
        <v>2217</v>
      </c>
      <c r="B116" s="1817" t="s">
        <v>2427</v>
      </c>
      <c r="C116" s="1283" t="str">
        <f t="shared" ref="C116:L116" si="25">C117&amp;"(含)"&amp;"-"&amp;D117</f>
        <v>(含)-</v>
      </c>
      <c r="D116" s="1283" t="str">
        <f t="shared" si="25"/>
        <v>(含)-</v>
      </c>
      <c r="E116" s="1283" t="str">
        <f t="shared" si="25"/>
        <v>(含)-</v>
      </c>
      <c r="F116" s="1283" t="str">
        <f t="shared" si="25"/>
        <v>(含)-</v>
      </c>
      <c r="G116" s="1283" t="str">
        <f t="shared" si="25"/>
        <v>(含)-</v>
      </c>
      <c r="H116" s="1283" t="str">
        <f t="shared" si="25"/>
        <v>(含)-</v>
      </c>
      <c r="I116" s="1283" t="str">
        <f t="shared" si="25"/>
        <v>(含)-</v>
      </c>
      <c r="J116" s="1283" t="str">
        <f t="shared" si="25"/>
        <v>(含)-</v>
      </c>
      <c r="K116" s="1283" t="str">
        <f t="shared" si="25"/>
        <v>(含)-</v>
      </c>
      <c r="L116" s="1283" t="str">
        <f t="shared" si="25"/>
        <v>(含)-</v>
      </c>
      <c r="M116" s="2033" t="str">
        <f>M117&amp;"(含)"&amp;"-"&amp;P117</f>
        <v>(含)-</v>
      </c>
      <c r="N116" s="2983"/>
      <c r="O116" s="2983"/>
      <c r="P116" s="2027"/>
      <c r="Q116" s="1791"/>
    </row>
    <row r="117" spans="1:17" ht="15">
      <c r="A117" s="1823"/>
      <c r="B117" s="1834"/>
      <c r="C117" s="1871"/>
      <c r="D117" s="1871"/>
      <c r="E117" s="1871"/>
      <c r="F117" s="1871"/>
      <c r="G117" s="1871"/>
      <c r="H117" s="1871"/>
      <c r="I117" s="1871"/>
      <c r="J117" s="485"/>
      <c r="K117" s="485"/>
      <c r="L117" s="485"/>
      <c r="M117" s="1872"/>
      <c r="N117" s="2983"/>
      <c r="O117" s="2983"/>
      <c r="P117" s="2027"/>
      <c r="Q117" s="1791"/>
    </row>
    <row r="118" spans="1:17" ht="15.75" thickBot="1">
      <c r="A118" s="1823"/>
      <c r="B118" s="1831"/>
      <c r="C118" s="1852"/>
      <c r="D118" s="1867"/>
      <c r="E118" s="1867"/>
      <c r="F118" s="1867"/>
      <c r="G118" s="1867"/>
      <c r="H118" s="1867"/>
      <c r="I118" s="1867"/>
      <c r="J118" s="1867"/>
      <c r="K118" s="1867"/>
      <c r="L118" s="1867"/>
      <c r="M118" s="1868"/>
      <c r="N118" s="2984"/>
      <c r="O118" s="2984"/>
      <c r="P118" s="2027"/>
      <c r="Q118" s="1791"/>
    </row>
    <row r="119" spans="1:17" ht="15" thickTop="1">
      <c r="A119" s="1873"/>
      <c r="B119" s="1828" t="s">
        <v>2428</v>
      </c>
      <c r="C119" s="1547"/>
      <c r="D119" s="1547"/>
      <c r="E119" s="1547"/>
      <c r="F119" s="1547"/>
      <c r="G119" s="1547"/>
      <c r="H119" s="1547"/>
      <c r="I119" s="1547"/>
      <c r="J119" s="1547"/>
      <c r="K119" s="473"/>
      <c r="L119" s="473"/>
      <c r="M119" s="1863"/>
      <c r="N119" s="2983"/>
      <c r="O119" s="2983"/>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4"/>
      <c r="O120" s="2984"/>
      <c r="P120" s="2027"/>
      <c r="Q120" s="1791"/>
    </row>
    <row r="121" spans="1:17" ht="15" thickTop="1">
      <c r="A121" s="1873"/>
      <c r="B121" s="1828" t="s">
        <v>2429</v>
      </c>
      <c r="C121" s="468"/>
      <c r="D121" s="468"/>
      <c r="E121" s="468"/>
      <c r="F121" s="1547"/>
      <c r="G121" s="1547"/>
      <c r="H121" s="1547"/>
      <c r="I121" s="1547"/>
      <c r="J121" s="1547"/>
      <c r="K121" s="473"/>
      <c r="L121" s="473"/>
      <c r="M121" s="1863"/>
      <c r="N121" s="2983"/>
      <c r="O121" s="2983"/>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4"/>
      <c r="O122" s="2984"/>
      <c r="P122" s="2027"/>
      <c r="Q122" s="1791"/>
    </row>
    <row r="123" spans="1:17" s="1741" customFormat="1" ht="15" thickTop="1">
      <c r="A123" s="1869"/>
      <c r="B123" s="1828" t="s">
        <v>2430</v>
      </c>
      <c r="C123" s="468"/>
      <c r="D123" s="468"/>
      <c r="E123" s="468"/>
      <c r="F123" s="468"/>
      <c r="G123" s="468"/>
      <c r="H123" s="1547"/>
      <c r="I123" s="1547"/>
      <c r="J123" s="1547"/>
      <c r="K123" s="473"/>
      <c r="L123" s="473"/>
      <c r="M123" s="1863"/>
      <c r="N123" s="2985"/>
      <c r="O123" s="2985"/>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5"/>
      <c r="O124" s="2985"/>
      <c r="P124" s="2028"/>
      <c r="Q124" s="1843"/>
    </row>
    <row r="125" spans="1:17" ht="15" thickTop="1">
      <c r="A125" s="1873"/>
      <c r="B125" s="1828" t="s">
        <v>2431</v>
      </c>
      <c r="C125" s="468"/>
      <c r="D125" s="468"/>
      <c r="E125" s="1547"/>
      <c r="F125" s="1547"/>
      <c r="G125" s="1547"/>
      <c r="H125" s="1547"/>
      <c r="I125" s="1547"/>
      <c r="J125" s="1547"/>
      <c r="K125" s="473"/>
      <c r="L125" s="473"/>
      <c r="M125" s="1863"/>
      <c r="N125" s="2983"/>
      <c r="O125" s="2983"/>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4"/>
      <c r="O126" s="2984"/>
      <c r="P126" s="2027"/>
      <c r="Q126" s="1791"/>
    </row>
    <row r="127" spans="1:17" ht="15" thickTop="1">
      <c r="A127" s="1873"/>
      <c r="B127" s="1828">
        <f>B43</f>
        <v>111</v>
      </c>
      <c r="C127" s="468"/>
      <c r="D127" s="468"/>
      <c r="E127" s="468"/>
      <c r="F127" s="468"/>
      <c r="G127" s="468"/>
      <c r="H127" s="1547"/>
      <c r="I127" s="1547"/>
      <c r="J127" s="1547"/>
      <c r="K127" s="473"/>
      <c r="L127" s="473"/>
      <c r="M127" s="1863"/>
      <c r="N127" s="2983"/>
      <c r="O127" s="2983"/>
      <c r="P127" s="2027"/>
      <c r="Q127" s="1791"/>
    </row>
    <row r="128" spans="1:17" ht="15.75" thickBot="1">
      <c r="A128" s="1823"/>
      <c r="B128" s="1831"/>
      <c r="C128" s="1844"/>
      <c r="D128" s="1844"/>
      <c r="E128" s="1844"/>
      <c r="F128" s="1844"/>
      <c r="G128" s="1825"/>
      <c r="H128" s="1825"/>
      <c r="I128" s="1825"/>
      <c r="J128" s="1825"/>
      <c r="K128" s="1825"/>
      <c r="L128" s="1825"/>
      <c r="M128" s="1826"/>
      <c r="N128" s="2984"/>
      <c r="O128" s="2984"/>
      <c r="P128" s="2027"/>
      <c r="Q128" s="1791"/>
    </row>
    <row r="129" spans="1:17" ht="15" thickTop="1">
      <c r="A129" s="1873"/>
      <c r="B129" s="1828">
        <f>B44</f>
        <v>111</v>
      </c>
      <c r="C129" s="409"/>
      <c r="D129" s="409"/>
      <c r="E129" s="409"/>
      <c r="F129" s="409"/>
      <c r="G129" s="1547"/>
      <c r="H129" s="1547"/>
      <c r="I129" s="1547"/>
      <c r="J129" s="1547"/>
      <c r="K129" s="473"/>
      <c r="L129" s="473"/>
      <c r="M129" s="1863"/>
      <c r="N129" s="2983"/>
      <c r="O129" s="2983"/>
      <c r="P129" s="2027"/>
      <c r="Q129" s="1791"/>
    </row>
    <row r="130" spans="1:17" ht="15.75" thickBot="1">
      <c r="A130" s="1823"/>
      <c r="B130" s="1831"/>
      <c r="C130" s="1852"/>
      <c r="D130" s="1852"/>
      <c r="E130" s="1852"/>
      <c r="F130" s="1852"/>
      <c r="G130" s="1825"/>
      <c r="H130" s="1825"/>
      <c r="I130" s="1825"/>
      <c r="J130" s="1825"/>
      <c r="K130" s="1825"/>
      <c r="L130" s="1825"/>
      <c r="M130" s="1826"/>
      <c r="N130" s="2984"/>
      <c r="O130" s="2984"/>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5"/>
      <c r="O131" s="2985"/>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5"/>
      <c r="O132" s="2985"/>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3" customWidth="1"/>
    <col min="2" max="3" width="12.5" style="1313" customWidth="1"/>
    <col min="4" max="6" width="8.125" style="1313"/>
    <col min="7" max="7" width="17.5" style="1313" customWidth="1"/>
    <col min="8" max="16384" width="8.125" style="1313"/>
  </cols>
  <sheetData>
    <row r="1" spans="1:7" ht="23.25">
      <c r="A1" s="1311" t="s">
        <v>1197</v>
      </c>
      <c r="B1" s="1312"/>
      <c r="C1" s="1312"/>
      <c r="D1" s="1312"/>
      <c r="E1" s="1312"/>
      <c r="F1" s="1312"/>
      <c r="G1" s="1312"/>
    </row>
    <row r="2" spans="1:7">
      <c r="A2" s="1314"/>
    </row>
    <row r="3" spans="1:7" s="1317" customFormat="1" ht="18">
      <c r="A3" s="1315" t="str">
        <f>IF(ISNUMBER(FIND("公司",项目基本情况!B4)),项目基本情况!B4&amp;"：",项目基本情况!B4&amp;"  先生/女士：")</f>
        <v>xx  先生/女士：</v>
      </c>
      <c r="B3" s="1316"/>
      <c r="C3" s="1316"/>
      <c r="D3" s="1316"/>
      <c r="E3" s="1316"/>
      <c r="F3" s="1316"/>
      <c r="G3" s="1316"/>
    </row>
    <row r="4" spans="1:7" ht="18">
      <c r="A4" s="1318" t="str">
        <f>IF(ISNUMBER(FIND("公司",A3)),"受贵公司委托，我公司对"&amp;项目基本情况!I1&amp;"进行了预评估。","受您的委托，我公司对"&amp;项目基本情况!I1&amp;"进行了预评估。")</f>
        <v>受您的委托，我公司对北京市房地产进行了预评估。</v>
      </c>
      <c r="B4" s="1318"/>
      <c r="C4" s="1318"/>
      <c r="D4" s="1318"/>
      <c r="E4" s="1318"/>
      <c r="F4" s="1318"/>
      <c r="G4" s="1318"/>
    </row>
    <row r="5" spans="1:7" ht="18.75">
      <c r="A5" s="1319" t="s">
        <v>1198</v>
      </c>
    </row>
    <row r="6" spans="1:7" s="1320" customFormat="1" ht="54">
      <c r="A6" s="131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估价对象为北京市房地产，为XX所有。根据《》[]，估价对象建筑面积为393.43平方米。根据《》[]，估价对象（分摊）出让国有建设用地使用权面积为平方米。估价对象用途为。</v>
      </c>
      <c r="B6" s="1318"/>
      <c r="C6" s="1318"/>
      <c r="D6" s="1318"/>
      <c r="E6" s="1318"/>
      <c r="F6" s="1318"/>
      <c r="G6" s="1318"/>
    </row>
    <row r="7" spans="1:7" ht="18.75">
      <c r="A7" s="1319" t="s">
        <v>1199</v>
      </c>
    </row>
    <row r="8" spans="1:7" ht="54">
      <c r="A8" s="132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2"/>
      <c r="C8" s="1318"/>
      <c r="D8" s="1318"/>
      <c r="E8" s="1318"/>
      <c r="F8" s="1318"/>
      <c r="G8" s="1318"/>
    </row>
    <row r="9" spans="1:7" ht="18.75">
      <c r="A9" s="1316" t="s">
        <v>1200</v>
      </c>
      <c r="B9" s="1323"/>
    </row>
    <row r="10" spans="1:7" ht="18">
      <c r="A10" s="1324" t="str">
        <f>TEXT(项目基本情况!D2,"yyyy年m月d日;;")&amp;IF(项目基本情况!B2=项目基本情况!D2,"（评估专业人员实地查勘之日）","")</f>
        <v>2021年12月31日</v>
      </c>
      <c r="B10" s="1325"/>
      <c r="C10" s="1325"/>
      <c r="D10" s="1325"/>
      <c r="E10" s="1325"/>
      <c r="F10" s="1325"/>
      <c r="G10" s="1325"/>
    </row>
    <row r="11" spans="1:7" ht="18.75">
      <c r="A11" s="1316" t="s">
        <v>1201</v>
      </c>
    </row>
    <row r="12" spans="1:7" ht="75">
      <c r="A12" s="1318" t="s">
        <v>1202</v>
      </c>
      <c r="B12" s="1318"/>
      <c r="C12" s="1318"/>
      <c r="D12" s="1318"/>
      <c r="E12" s="1318"/>
      <c r="F12" s="1318"/>
      <c r="G12" s="1318"/>
    </row>
    <row r="13" spans="1:7" ht="36">
      <c r="A13" s="13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本次估价的“房地产价值”是指在正常市场情况下，在价值时点2021年12月31日，估价对象规划用途为，假定未设立法定优先受偿款下的房地产市场价值。</v>
      </c>
      <c r="B13" s="1318"/>
      <c r="C13" s="1318"/>
      <c r="D13" s="1318"/>
      <c r="E13" s="1318"/>
      <c r="F13" s="1318"/>
      <c r="G13" s="1318"/>
    </row>
    <row r="14" spans="1:7" ht="36">
      <c r="A14" s="13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6"/>
      <c r="C14" s="1326"/>
      <c r="D14" s="1326"/>
      <c r="E14" s="1326"/>
      <c r="F14" s="1326"/>
      <c r="G14" s="1326"/>
    </row>
    <row r="15" spans="1:7" ht="56.25">
      <c r="A15" s="1318" t="s">
        <v>1196</v>
      </c>
      <c r="B15" s="1318"/>
      <c r="C15" s="1318"/>
      <c r="D15" s="1318"/>
      <c r="E15" s="1318"/>
      <c r="F15" s="1318"/>
      <c r="G15" s="1318"/>
    </row>
    <row r="16" spans="1:7" ht="54">
      <c r="A16" s="13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6"/>
      <c r="C16" s="1326"/>
      <c r="D16" s="1326"/>
      <c r="E16" s="1326"/>
      <c r="F16" s="1326"/>
      <c r="G16" s="1326"/>
    </row>
    <row r="17" spans="1:1" ht="18.75">
      <c r="A17" s="1316" t="s">
        <v>1195</v>
      </c>
    </row>
    <row r="18" spans="1:1" ht="18">
      <c r="A18" s="1327"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7" sqref="M1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2386</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2387</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593" t="s">
        <v>2189</v>
      </c>
      <c r="D4" s="3594"/>
      <c r="E4" s="3595" t="s">
        <v>2190</v>
      </c>
      <c r="F4" s="3596"/>
      <c r="G4" s="3593" t="s">
        <v>2191</v>
      </c>
      <c r="H4" s="3594"/>
      <c r="I4" s="3593" t="s">
        <v>2192</v>
      </c>
      <c r="J4" s="3594"/>
      <c r="K4" s="496" t="s">
        <v>2193</v>
      </c>
      <c r="L4" s="2992"/>
      <c r="M4" s="2993"/>
      <c r="N4" s="2993"/>
      <c r="O4" s="2993"/>
      <c r="P4" s="3597" t="s">
        <v>2194</v>
      </c>
      <c r="Q4" s="3598"/>
      <c r="R4" s="3603" t="s">
        <v>2190</v>
      </c>
      <c r="S4" s="3604"/>
      <c r="T4" s="3603" t="s">
        <v>2191</v>
      </c>
      <c r="U4" s="3604"/>
      <c r="V4" s="3609" t="s">
        <v>2192</v>
      </c>
      <c r="W4" s="3609"/>
      <c r="X4" s="1304"/>
      <c r="Y4" s="3603" t="s">
        <v>2194</v>
      </c>
      <c r="Z4" s="3604"/>
      <c r="AA4" s="3590" t="s">
        <v>2190</v>
      </c>
      <c r="AB4" s="3591" t="s">
        <v>2191</v>
      </c>
      <c r="AC4" s="3590" t="s">
        <v>2192</v>
      </c>
    </row>
    <row r="5" spans="1:29" ht="15">
      <c r="A5" s="297"/>
      <c r="B5" s="298"/>
      <c r="C5" s="3586" t="s">
        <v>2195</v>
      </c>
      <c r="D5" s="3587"/>
      <c r="E5" s="3610" t="s">
        <v>2196</v>
      </c>
      <c r="F5" s="3611"/>
      <c r="G5" s="3586" t="s">
        <v>2197</v>
      </c>
      <c r="H5" s="3587"/>
      <c r="I5" s="3586" t="s">
        <v>2198</v>
      </c>
      <c r="J5" s="3587"/>
      <c r="K5" s="496"/>
      <c r="L5" s="2992"/>
      <c r="M5" s="2993"/>
      <c r="N5" s="2993"/>
      <c r="O5" s="2993"/>
      <c r="P5" s="3599"/>
      <c r="Q5" s="3600"/>
      <c r="R5" s="3605"/>
      <c r="S5" s="3606"/>
      <c r="T5" s="3605"/>
      <c r="U5" s="3606"/>
      <c r="V5" s="3609"/>
      <c r="W5" s="3609"/>
      <c r="X5" s="1304"/>
      <c r="Y5" s="3605"/>
      <c r="Z5" s="3606"/>
      <c r="AA5" s="3591"/>
      <c r="AB5" s="3591"/>
      <c r="AC5" s="3591"/>
    </row>
    <row r="6" spans="1:29" ht="15.75" thickBot="1">
      <c r="A6" s="299"/>
      <c r="B6" s="300"/>
      <c r="C6" s="3583" t="s">
        <v>2199</v>
      </c>
      <c r="D6" s="3584"/>
      <c r="E6" s="3581" t="s">
        <v>2199</v>
      </c>
      <c r="F6" s="3582"/>
      <c r="G6" s="3583" t="s">
        <v>2199</v>
      </c>
      <c r="H6" s="3584"/>
      <c r="I6" s="3583" t="s">
        <v>2199</v>
      </c>
      <c r="J6" s="3584"/>
      <c r="K6" s="496" t="s">
        <v>2200</v>
      </c>
      <c r="L6" s="2992"/>
      <c r="M6" s="2993"/>
      <c r="N6" s="2993"/>
      <c r="O6" s="2993"/>
      <c r="P6" s="3601"/>
      <c r="Q6" s="3602"/>
      <c r="R6" s="3605"/>
      <c r="S6" s="3606"/>
      <c r="T6" s="3607"/>
      <c r="U6" s="3608"/>
      <c r="V6" s="3609"/>
      <c r="W6" s="3609"/>
      <c r="X6" s="1304"/>
      <c r="Y6" s="3607"/>
      <c r="Z6" s="3608"/>
      <c r="AA6" s="3592"/>
      <c r="AB6" s="3592"/>
      <c r="AC6" s="3592"/>
    </row>
    <row r="7" spans="1:29" s="25" customFormat="1" ht="15.75" thickBot="1">
      <c r="A7" s="301" t="s">
        <v>2201</v>
      </c>
      <c r="B7" s="302"/>
      <c r="C7" s="303">
        <f>'数据-取费表'!B2</f>
        <v>44561</v>
      </c>
      <c r="D7" s="304">
        <v>100</v>
      </c>
      <c r="E7" s="305"/>
      <c r="F7" s="306">
        <f>SUMIF(65:65,YEAR(E7)&amp;"-"&amp;INT((MONTH(E7)+2)/3),66:66)</f>
        <v>0</v>
      </c>
      <c r="G7" s="1544"/>
      <c r="H7" s="304">
        <f>SUMIF(65:65,YEAR(G7)&amp;"-"&amp;INT((MONTH(G7)+2)/3),66:66)</f>
        <v>0</v>
      </c>
      <c r="I7" s="1544"/>
      <c r="J7" s="304">
        <f>SUMIF(65:65,YEAR(I7)&amp;"-"&amp;INT((MONTH(I7)+2)/3),66:66)</f>
        <v>0</v>
      </c>
      <c r="K7" s="497"/>
      <c r="L7" s="2994"/>
      <c r="M7" s="2995"/>
      <c r="N7" s="2995"/>
      <c r="O7" s="2995"/>
      <c r="P7" s="3588" t="s">
        <v>2202</v>
      </c>
      <c r="Q7" s="3612"/>
      <c r="R7" s="627" t="s">
        <v>25</v>
      </c>
      <c r="S7" s="628">
        <f t="shared" ref="S7:S15" si="0">F7</f>
        <v>0</v>
      </c>
      <c r="T7" s="627" t="s">
        <v>25</v>
      </c>
      <c r="U7" s="628">
        <f t="shared" ref="U7:U15" si="1">H7</f>
        <v>0</v>
      </c>
      <c r="V7" s="627" t="s">
        <v>25</v>
      </c>
      <c r="W7" s="628">
        <f t="shared" ref="W7:W15" si="2">J7</f>
        <v>0</v>
      </c>
      <c r="X7" s="629"/>
      <c r="Y7" s="3588" t="s">
        <v>2202</v>
      </c>
      <c r="Z7" s="3589"/>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588" t="s">
        <v>2205</v>
      </c>
      <c r="Q8" s="3589"/>
      <c r="R8" s="627" t="s">
        <v>25</v>
      </c>
      <c r="S8" s="628">
        <f t="shared" si="0"/>
        <v>0</v>
      </c>
      <c r="T8" s="627" t="s">
        <v>25</v>
      </c>
      <c r="U8" s="628">
        <f t="shared" si="1"/>
        <v>0</v>
      </c>
      <c r="V8" s="627" t="s">
        <v>25</v>
      </c>
      <c r="W8" s="628">
        <f t="shared" si="2"/>
        <v>0</v>
      </c>
      <c r="X8" s="629"/>
      <c r="Y8" s="3588" t="s">
        <v>2205</v>
      </c>
      <c r="Z8" s="3589"/>
      <c r="AA8" s="630" t="e">
        <f t="shared" ref="AA8:AA40" si="3">D8/F8</f>
        <v>#DIV/0!</v>
      </c>
      <c r="AB8" s="630" t="e">
        <f t="shared" ref="AB8:AB40" si="4">D8/H8</f>
        <v>#DIV/0!</v>
      </c>
      <c r="AC8" s="630" t="e">
        <f t="shared" ref="AC8:AC40" si="5">D8/J8</f>
        <v>#DIV/0!</v>
      </c>
    </row>
    <row r="9" spans="1:29" s="25" customFormat="1">
      <c r="A9" s="308" t="s">
        <v>2206</v>
      </c>
      <c r="B9" s="24" t="s">
        <v>2207</v>
      </c>
      <c r="C9" s="1555" t="s">
        <v>2433</v>
      </c>
      <c r="D9" s="28">
        <v>100</v>
      </c>
      <c r="E9" s="1555"/>
      <c r="F9" s="28">
        <f>SUMIF(70:70,E9,71:71)-SUMIF(70:70,C9,71:71)+100</f>
        <v>100</v>
      </c>
      <c r="G9" s="1555"/>
      <c r="H9" s="28">
        <f>SUMIF(70:70,G9,71:71)-SUMIF(70:70,C9,71:71)+100</f>
        <v>100</v>
      </c>
      <c r="I9" s="1555"/>
      <c r="J9" s="28">
        <f>SUMIF(70:70,I9,71:71)-SUMIF(70:70,C9,71:71)+100</f>
        <v>100</v>
      </c>
      <c r="K9" s="497"/>
      <c r="L9" s="2994"/>
      <c r="M9" s="2995"/>
      <c r="N9" s="2995"/>
      <c r="O9" s="2996"/>
      <c r="P9" s="3585" t="s">
        <v>2208</v>
      </c>
      <c r="Q9" s="1296" t="str">
        <f t="shared" ref="Q9:Q15" si="6">B9</f>
        <v>用途</v>
      </c>
      <c r="R9" s="627" t="s">
        <v>25</v>
      </c>
      <c r="S9" s="628">
        <f t="shared" si="0"/>
        <v>100</v>
      </c>
      <c r="T9" s="627" t="s">
        <v>25</v>
      </c>
      <c r="U9" s="628">
        <f t="shared" si="1"/>
        <v>100</v>
      </c>
      <c r="V9" s="627" t="s">
        <v>25</v>
      </c>
      <c r="W9" s="628">
        <f t="shared" si="2"/>
        <v>100</v>
      </c>
      <c r="X9" s="629"/>
      <c r="Y9" s="3615"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121</v>
      </c>
      <c r="G10" s="322"/>
      <c r="H10" s="29">
        <f>ROUND(100/'数据-取费表'!B14,0)</f>
        <v>121</v>
      </c>
      <c r="I10" s="322"/>
      <c r="J10" s="29">
        <f>ROUND(100/'数据-取费表'!B14,0)</f>
        <v>121</v>
      </c>
      <c r="K10" s="553"/>
      <c r="L10" s="2997"/>
      <c r="M10" s="2998"/>
      <c r="N10" s="2998"/>
      <c r="O10" s="2999"/>
      <c r="P10" s="3585"/>
      <c r="Q10" s="1296" t="str">
        <f t="shared" si="6"/>
        <v>土地使用年限（年）</v>
      </c>
      <c r="R10" s="627" t="s">
        <v>25</v>
      </c>
      <c r="S10" s="628">
        <f t="shared" si="0"/>
        <v>121</v>
      </c>
      <c r="T10" s="627" t="s">
        <v>25</v>
      </c>
      <c r="U10" s="628">
        <f t="shared" si="1"/>
        <v>121</v>
      </c>
      <c r="V10" s="627" t="s">
        <v>25</v>
      </c>
      <c r="W10" s="628">
        <f t="shared" si="2"/>
        <v>121</v>
      </c>
      <c r="X10" s="629"/>
      <c r="Y10" s="3615"/>
      <c r="Z10" s="19" t="str">
        <f t="shared" si="7"/>
        <v>土地使用年限（年）</v>
      </c>
      <c r="AA10" s="630">
        <f t="shared" si="3"/>
        <v>0.82644628099173556</v>
      </c>
      <c r="AB10" s="630">
        <f t="shared" si="4"/>
        <v>0.82644628099173556</v>
      </c>
      <c r="AC10" s="630">
        <f t="shared" si="5"/>
        <v>0.82644628099173556</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585"/>
      <c r="Q11" s="1296" t="str">
        <f t="shared" si="6"/>
        <v>容积率</v>
      </c>
      <c r="R11" s="627" t="s">
        <v>25</v>
      </c>
      <c r="S11" s="628" t="e">
        <f t="shared" si="0"/>
        <v>#N/A</v>
      </c>
      <c r="T11" s="627" t="s">
        <v>25</v>
      </c>
      <c r="U11" s="628" t="e">
        <f t="shared" si="1"/>
        <v>#N/A</v>
      </c>
      <c r="V11" s="627" t="s">
        <v>25</v>
      </c>
      <c r="W11" s="628" t="e">
        <f t="shared" si="2"/>
        <v>#N/A</v>
      </c>
      <c r="X11" s="629"/>
      <c r="Y11" s="3615"/>
      <c r="Z11" s="19" t="str">
        <f t="shared" si="7"/>
        <v>容积率</v>
      </c>
      <c r="AA11" s="630" t="e">
        <f t="shared" si="3"/>
        <v>#N/A</v>
      </c>
      <c r="AB11" s="630" t="e">
        <f t="shared" si="4"/>
        <v>#N/A</v>
      </c>
      <c r="AC11" s="630"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585"/>
      <c r="Q12" s="1296">
        <f t="shared" si="6"/>
        <v>111</v>
      </c>
      <c r="R12" s="627" t="s">
        <v>25</v>
      </c>
      <c r="S12" s="628">
        <f t="shared" si="0"/>
        <v>100</v>
      </c>
      <c r="T12" s="627" t="s">
        <v>25</v>
      </c>
      <c r="U12" s="628">
        <f t="shared" si="1"/>
        <v>100</v>
      </c>
      <c r="V12" s="627" t="s">
        <v>25</v>
      </c>
      <c r="W12" s="628">
        <f t="shared" si="2"/>
        <v>100</v>
      </c>
      <c r="X12" s="629"/>
      <c r="Y12" s="3615"/>
      <c r="Z12" s="19">
        <f t="shared" si="7"/>
        <v>111</v>
      </c>
      <c r="AA12" s="630">
        <f>D12/F12</f>
        <v>1</v>
      </c>
      <c r="AB12" s="630">
        <f>D12/H12</f>
        <v>1</v>
      </c>
      <c r="AC12" s="630">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585"/>
      <c r="Q13" s="1296">
        <f t="shared" si="6"/>
        <v>111</v>
      </c>
      <c r="R13" s="627" t="s">
        <v>25</v>
      </c>
      <c r="S13" s="628">
        <f t="shared" si="0"/>
        <v>100</v>
      </c>
      <c r="T13" s="627" t="s">
        <v>25</v>
      </c>
      <c r="U13" s="628">
        <f t="shared" si="1"/>
        <v>100</v>
      </c>
      <c r="V13" s="627" t="s">
        <v>25</v>
      </c>
      <c r="W13" s="628">
        <f t="shared" si="2"/>
        <v>100</v>
      </c>
      <c r="X13" s="629"/>
      <c r="Y13" s="3615"/>
      <c r="Z13" s="19">
        <f t="shared" si="7"/>
        <v>111</v>
      </c>
      <c r="AA13" s="630">
        <f t="shared" si="3"/>
        <v>1</v>
      </c>
      <c r="AB13" s="630">
        <f t="shared" si="4"/>
        <v>1</v>
      </c>
      <c r="AC13" s="630">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585"/>
      <c r="Q14" s="1296">
        <f t="shared" si="6"/>
        <v>111</v>
      </c>
      <c r="R14" s="627" t="s">
        <v>25</v>
      </c>
      <c r="S14" s="628">
        <f t="shared" si="0"/>
        <v>100</v>
      </c>
      <c r="T14" s="627" t="s">
        <v>25</v>
      </c>
      <c r="U14" s="628">
        <f t="shared" si="1"/>
        <v>100</v>
      </c>
      <c r="V14" s="627" t="s">
        <v>25</v>
      </c>
      <c r="W14" s="628">
        <f t="shared" si="2"/>
        <v>100</v>
      </c>
      <c r="X14" s="629"/>
      <c r="Y14" s="3615"/>
      <c r="Z14" s="19">
        <f t="shared" si="7"/>
        <v>111</v>
      </c>
      <c r="AA14" s="630">
        <f t="shared" si="3"/>
        <v>1</v>
      </c>
      <c r="AB14" s="630">
        <f t="shared" si="4"/>
        <v>1</v>
      </c>
      <c r="AC14" s="630">
        <f t="shared" si="5"/>
        <v>1</v>
      </c>
    </row>
    <row r="15" spans="1:29" ht="57">
      <c r="A15" s="329" t="s">
        <v>2212</v>
      </c>
      <c r="B15" s="511" t="s">
        <v>2434</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13" t="s">
        <v>2213</v>
      </c>
      <c r="Q15" s="1303" t="str">
        <f t="shared" si="6"/>
        <v>产业集聚程度</v>
      </c>
      <c r="R15" s="631" t="s">
        <v>25</v>
      </c>
      <c r="S15" s="632">
        <f t="shared" si="0"/>
        <v>100</v>
      </c>
      <c r="T15" s="631" t="s">
        <v>25</v>
      </c>
      <c r="U15" s="632">
        <f t="shared" si="1"/>
        <v>100</v>
      </c>
      <c r="V15" s="631" t="s">
        <v>25</v>
      </c>
      <c r="W15" s="632">
        <f t="shared" si="2"/>
        <v>100</v>
      </c>
      <c r="X15" s="1304"/>
      <c r="Y15" s="3613" t="s">
        <v>2213</v>
      </c>
      <c r="Z15" s="1305" t="str">
        <f t="shared" si="7"/>
        <v>产业集聚程度</v>
      </c>
      <c r="AA15" s="1306">
        <f t="shared" si="3"/>
        <v>1</v>
      </c>
      <c r="AB15" s="1306">
        <f t="shared" si="4"/>
        <v>1</v>
      </c>
      <c r="AC15" s="1306">
        <f t="shared" si="5"/>
        <v>1</v>
      </c>
    </row>
    <row r="16" spans="1:29" ht="15">
      <c r="A16" s="318"/>
      <c r="B16" s="512"/>
      <c r="C16" s="335"/>
      <c r="D16" s="336"/>
      <c r="E16" s="1105"/>
      <c r="F16" s="336"/>
      <c r="G16" s="1105"/>
      <c r="H16" s="339"/>
      <c r="I16" s="1105"/>
      <c r="J16" s="336"/>
      <c r="K16" s="553"/>
      <c r="L16" s="3002"/>
      <c r="M16" s="2993"/>
      <c r="N16" s="2993"/>
      <c r="O16" s="3001"/>
      <c r="P16" s="3614"/>
      <c r="Q16" s="1303"/>
      <c r="R16" s="631"/>
      <c r="S16" s="632"/>
      <c r="T16" s="631"/>
      <c r="U16" s="632"/>
      <c r="V16" s="631"/>
      <c r="W16" s="632"/>
      <c r="X16" s="1304"/>
      <c r="Y16" s="3614"/>
      <c r="Z16" s="1305"/>
      <c r="AA16" s="1306">
        <v>1</v>
      </c>
      <c r="AB16" s="1306">
        <v>1</v>
      </c>
      <c r="AC16" s="1306">
        <v>1</v>
      </c>
    </row>
    <row r="17" spans="1:29" ht="85.5">
      <c r="A17" s="318"/>
      <c r="B17" s="513" t="s">
        <v>2350</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14"/>
      <c r="Q17" s="1303" t="str">
        <f>B17</f>
        <v>交通便捷度</v>
      </c>
      <c r="R17" s="631" t="s">
        <v>25</v>
      </c>
      <c r="S17" s="632">
        <f>F17</f>
        <v>100</v>
      </c>
      <c r="T17" s="631" t="s">
        <v>25</v>
      </c>
      <c r="U17" s="632">
        <f>H17</f>
        <v>100</v>
      </c>
      <c r="V17" s="631" t="s">
        <v>25</v>
      </c>
      <c r="W17" s="632">
        <f>J17</f>
        <v>100</v>
      </c>
      <c r="X17" s="1304"/>
      <c r="Y17" s="3614"/>
      <c r="Z17" s="1305" t="str">
        <f>Q17</f>
        <v>交通便捷度</v>
      </c>
      <c r="AA17" s="1306">
        <f t="shared" si="3"/>
        <v>1</v>
      </c>
      <c r="AB17" s="1306">
        <f t="shared" si="4"/>
        <v>1</v>
      </c>
      <c r="AC17" s="1306">
        <f t="shared" si="5"/>
        <v>1</v>
      </c>
    </row>
    <row r="18" spans="1:29" ht="15">
      <c r="A18" s="318"/>
      <c r="B18" s="514"/>
      <c r="C18" s="335"/>
      <c r="D18" s="336"/>
      <c r="E18" s="337"/>
      <c r="F18" s="336"/>
      <c r="G18" s="337"/>
      <c r="H18" s="336"/>
      <c r="I18" s="1535"/>
      <c r="J18" s="336"/>
      <c r="K18" s="553"/>
      <c r="L18" s="3002"/>
      <c r="M18" s="2993"/>
      <c r="N18" s="2993"/>
      <c r="O18" s="3001"/>
      <c r="P18" s="3614"/>
      <c r="Q18" s="1303"/>
      <c r="R18" s="631"/>
      <c r="S18" s="632"/>
      <c r="T18" s="631"/>
      <c r="U18" s="632"/>
      <c r="V18" s="631"/>
      <c r="W18" s="632"/>
      <c r="X18" s="1304"/>
      <c r="Y18" s="3614"/>
      <c r="Z18" s="1305"/>
      <c r="AA18" s="1306">
        <v>1</v>
      </c>
      <c r="AB18" s="1306">
        <v>1</v>
      </c>
      <c r="AC18" s="1306">
        <v>1</v>
      </c>
    </row>
    <row r="19" spans="1:29" ht="15">
      <c r="A19" s="318"/>
      <c r="B19" s="513" t="s">
        <v>2390</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14"/>
      <c r="Q19" s="1303" t="str">
        <f t="shared" ref="Q19:Q33" si="8">B19</f>
        <v>区域土地利用方向</v>
      </c>
      <c r="R19" s="631" t="s">
        <v>25</v>
      </c>
      <c r="S19" s="632">
        <f>F19</f>
        <v>100</v>
      </c>
      <c r="T19" s="631" t="s">
        <v>25</v>
      </c>
      <c r="U19" s="632">
        <f>H19</f>
        <v>100</v>
      </c>
      <c r="V19" s="631" t="s">
        <v>25</v>
      </c>
      <c r="W19" s="632">
        <f>J19</f>
        <v>100</v>
      </c>
      <c r="X19" s="1304"/>
      <c r="Y19" s="3614"/>
      <c r="Z19" s="1305" t="str">
        <f>Q19</f>
        <v>区域土地利用方向</v>
      </c>
      <c r="AA19" s="1306">
        <f t="shared" si="3"/>
        <v>1</v>
      </c>
      <c r="AB19" s="1306">
        <f t="shared" si="4"/>
        <v>1</v>
      </c>
      <c r="AC19" s="1306">
        <f t="shared" si="5"/>
        <v>1</v>
      </c>
    </row>
    <row r="20" spans="1:29" ht="15">
      <c r="A20" s="297"/>
      <c r="B20" s="514"/>
      <c r="C20" s="335"/>
      <c r="D20" s="336"/>
      <c r="E20" s="337"/>
      <c r="F20" s="336"/>
      <c r="G20" s="337"/>
      <c r="H20" s="336"/>
      <c r="I20" s="337"/>
      <c r="J20" s="336"/>
      <c r="K20" s="665"/>
      <c r="L20" s="3002"/>
      <c r="M20" s="2993"/>
      <c r="N20" s="2993"/>
      <c r="O20" s="3001"/>
      <c r="P20" s="3614"/>
      <c r="Q20" s="1303"/>
      <c r="R20" s="631"/>
      <c r="S20" s="632"/>
      <c r="T20" s="631"/>
      <c r="U20" s="632"/>
      <c r="V20" s="631"/>
      <c r="W20" s="632"/>
      <c r="X20" s="1304"/>
      <c r="Y20" s="3614"/>
      <c r="Z20" s="1305"/>
      <c r="AA20" s="1306"/>
      <c r="AB20" s="1306"/>
      <c r="AC20" s="1306"/>
    </row>
    <row r="21" spans="1:29" ht="71.25">
      <c r="A21" s="297"/>
      <c r="B21" s="513" t="s">
        <v>2435</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14"/>
      <c r="Q21" s="1303" t="str">
        <f t="shared" si="8"/>
        <v>环境状况</v>
      </c>
      <c r="R21" s="631" t="s">
        <v>25</v>
      </c>
      <c r="S21" s="632">
        <f>F21</f>
        <v>100</v>
      </c>
      <c r="T21" s="631" t="s">
        <v>25</v>
      </c>
      <c r="U21" s="632">
        <f>H21</f>
        <v>100</v>
      </c>
      <c r="V21" s="631" t="s">
        <v>25</v>
      </c>
      <c r="W21" s="632">
        <f>J21</f>
        <v>100</v>
      </c>
      <c r="X21" s="1304"/>
      <c r="Y21" s="3614"/>
      <c r="Z21" s="1305" t="str">
        <f>Q21</f>
        <v>环境状况</v>
      </c>
      <c r="AA21" s="1306">
        <f t="shared" si="3"/>
        <v>1</v>
      </c>
      <c r="AB21" s="1306">
        <f t="shared" si="4"/>
        <v>1</v>
      </c>
      <c r="AC21" s="1306">
        <f t="shared" si="5"/>
        <v>1</v>
      </c>
    </row>
    <row r="22" spans="1:29" ht="15">
      <c r="A22" s="297"/>
      <c r="B22" s="514"/>
      <c r="C22" s="335"/>
      <c r="D22" s="336"/>
      <c r="E22" s="1105"/>
      <c r="F22" s="336"/>
      <c r="G22" s="1105"/>
      <c r="H22" s="336"/>
      <c r="I22" s="335"/>
      <c r="J22" s="336"/>
      <c r="K22" s="553"/>
      <c r="L22" s="3002"/>
      <c r="M22" s="2993"/>
      <c r="N22" s="2993"/>
      <c r="O22" s="3001"/>
      <c r="P22" s="3614"/>
      <c r="Q22" s="1303"/>
      <c r="R22" s="631"/>
      <c r="S22" s="632"/>
      <c r="T22" s="631"/>
      <c r="U22" s="632"/>
      <c r="V22" s="631"/>
      <c r="W22" s="632"/>
      <c r="X22" s="1304"/>
      <c r="Y22" s="3614"/>
      <c r="Z22" s="1305"/>
      <c r="AA22" s="1306">
        <v>1</v>
      </c>
      <c r="AB22" s="1306">
        <v>1</v>
      </c>
      <c r="AC22" s="1306">
        <v>1</v>
      </c>
    </row>
    <row r="23" spans="1:29" s="25" customFormat="1" ht="42.75">
      <c r="A23" s="531"/>
      <c r="B23" s="513" t="s">
        <v>2299</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14"/>
      <c r="Q23" s="1296" t="str">
        <f t="shared" si="8"/>
        <v>公共配套设施</v>
      </c>
      <c r="R23" s="627" t="s">
        <v>25</v>
      </c>
      <c r="S23" s="628">
        <f>F23</f>
        <v>100</v>
      </c>
      <c r="T23" s="627" t="s">
        <v>25</v>
      </c>
      <c r="U23" s="628">
        <f>H23</f>
        <v>100</v>
      </c>
      <c r="V23" s="627" t="s">
        <v>25</v>
      </c>
      <c r="W23" s="628">
        <f>J23</f>
        <v>100</v>
      </c>
      <c r="X23" s="629"/>
      <c r="Y23" s="3614"/>
      <c r="Z23" s="19" t="str">
        <f>Q23</f>
        <v>公共配套设施</v>
      </c>
      <c r="AA23" s="1306">
        <f>D23/F23</f>
        <v>1</v>
      </c>
      <c r="AB23" s="1306">
        <f>D23/H23</f>
        <v>1</v>
      </c>
      <c r="AC23" s="1306">
        <f>D23/J23</f>
        <v>1</v>
      </c>
    </row>
    <row r="24" spans="1:29" s="25" customFormat="1" ht="15">
      <c r="A24" s="531"/>
      <c r="B24" s="514"/>
      <c r="C24" s="1565"/>
      <c r="D24" s="336"/>
      <c r="E24" s="1105"/>
      <c r="F24" s="336"/>
      <c r="G24" s="1105"/>
      <c r="H24" s="336"/>
      <c r="I24" s="335"/>
      <c r="J24" s="336"/>
      <c r="K24" s="553"/>
      <c r="L24" s="2994"/>
      <c r="M24" s="2995"/>
      <c r="N24" s="2995"/>
      <c r="O24" s="2996"/>
      <c r="P24" s="3614"/>
      <c r="Q24" s="1296"/>
      <c r="R24" s="627"/>
      <c r="S24" s="628"/>
      <c r="T24" s="627"/>
      <c r="U24" s="628"/>
      <c r="V24" s="627"/>
      <c r="W24" s="628"/>
      <c r="X24" s="629"/>
      <c r="Y24" s="3614"/>
      <c r="Z24" s="19"/>
      <c r="AA24" s="630">
        <v>1</v>
      </c>
      <c r="AB24" s="630">
        <v>1</v>
      </c>
      <c r="AC24" s="630">
        <v>1</v>
      </c>
    </row>
    <row r="25" spans="1:29" s="25" customFormat="1" ht="28.5">
      <c r="A25" s="531"/>
      <c r="B25" s="515" t="s">
        <v>2300</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14"/>
      <c r="Q25" s="1296" t="str">
        <f t="shared" ref="Q25" si="9">B25</f>
        <v>基础设施水平</v>
      </c>
      <c r="R25" s="627" t="s">
        <v>25</v>
      </c>
      <c r="S25" s="628">
        <f>F25</f>
        <v>100</v>
      </c>
      <c r="T25" s="627" t="s">
        <v>25</v>
      </c>
      <c r="U25" s="628">
        <f>H25</f>
        <v>100</v>
      </c>
      <c r="V25" s="627" t="s">
        <v>25</v>
      </c>
      <c r="W25" s="628">
        <f>J25</f>
        <v>100</v>
      </c>
      <c r="X25" s="629"/>
      <c r="Y25" s="3614"/>
      <c r="Z25" s="19" t="str">
        <f>Q25</f>
        <v>基础设施水平</v>
      </c>
      <c r="AA25" s="1306">
        <f>D25/F25</f>
        <v>1</v>
      </c>
      <c r="AB25" s="1306">
        <f>D25/H25</f>
        <v>1</v>
      </c>
      <c r="AC25" s="1306">
        <f>D25/J25</f>
        <v>1</v>
      </c>
    </row>
    <row r="26" spans="1:29" s="25" customFormat="1" ht="15">
      <c r="A26" s="531"/>
      <c r="B26" s="514"/>
      <c r="C26" s="1565"/>
      <c r="D26" s="336"/>
      <c r="E26" s="1556"/>
      <c r="F26" s="336"/>
      <c r="G26" s="1556"/>
      <c r="H26" s="336"/>
      <c r="I26" s="1556"/>
      <c r="J26" s="336"/>
      <c r="K26" s="553"/>
      <c r="L26" s="2994"/>
      <c r="M26" s="2995"/>
      <c r="N26" s="2995"/>
      <c r="O26" s="2996"/>
      <c r="P26" s="3614"/>
      <c r="Q26" s="1296"/>
      <c r="R26" s="627"/>
      <c r="S26" s="628"/>
      <c r="T26" s="627"/>
      <c r="U26" s="628"/>
      <c r="V26" s="627"/>
      <c r="W26" s="628"/>
      <c r="X26" s="629"/>
      <c r="Y26" s="3614"/>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14"/>
      <c r="Q27" s="1303" t="str">
        <f t="shared" si="8"/>
        <v>临街状况</v>
      </c>
      <c r="R27" s="631" t="s">
        <v>25</v>
      </c>
      <c r="S27" s="632">
        <f t="shared" ref="S27:S40" si="10">F27</f>
        <v>100</v>
      </c>
      <c r="T27" s="631" t="s">
        <v>25</v>
      </c>
      <c r="U27" s="632">
        <f t="shared" ref="U27:U40" si="11">H27</f>
        <v>100</v>
      </c>
      <c r="V27" s="631" t="s">
        <v>25</v>
      </c>
      <c r="W27" s="632">
        <f t="shared" ref="W27:W40" si="12">J27</f>
        <v>100</v>
      </c>
      <c r="X27" s="1304"/>
      <c r="Y27" s="3614"/>
      <c r="Z27" s="1305" t="str">
        <f t="shared" ref="Z27:Z40" si="13">Q27</f>
        <v>临街状况</v>
      </c>
      <c r="AA27" s="1306">
        <f t="shared" si="3"/>
        <v>1</v>
      </c>
      <c r="AB27" s="1306">
        <f t="shared" si="4"/>
        <v>1</v>
      </c>
      <c r="AC27" s="1306">
        <f t="shared" si="5"/>
        <v>1</v>
      </c>
    </row>
    <row r="28" spans="1:29" ht="27">
      <c r="A28" s="318"/>
      <c r="B28" s="515" t="s">
        <v>2331</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14"/>
      <c r="Q28" s="1303" t="str">
        <f t="shared" si="8"/>
        <v>毗邻道路的类型与等级</v>
      </c>
      <c r="R28" s="631" t="s">
        <v>25</v>
      </c>
      <c r="S28" s="632">
        <f t="shared" si="10"/>
        <v>100</v>
      </c>
      <c r="T28" s="631" t="s">
        <v>25</v>
      </c>
      <c r="U28" s="632">
        <f t="shared" si="11"/>
        <v>100</v>
      </c>
      <c r="V28" s="631" t="s">
        <v>25</v>
      </c>
      <c r="W28" s="632">
        <f t="shared" si="12"/>
        <v>100</v>
      </c>
      <c r="X28" s="1304"/>
      <c r="Y28" s="3614"/>
      <c r="Z28" s="1305" t="str">
        <f t="shared" si="13"/>
        <v>毗邻道路的类型与等级</v>
      </c>
      <c r="AA28" s="1306">
        <f t="shared" si="3"/>
        <v>1</v>
      </c>
      <c r="AB28" s="1306">
        <f t="shared" si="4"/>
        <v>1</v>
      </c>
      <c r="AC28" s="1306">
        <f t="shared" si="5"/>
        <v>1</v>
      </c>
    </row>
    <row r="29" spans="1:29" ht="15">
      <c r="A29" s="318"/>
      <c r="B29" s="514"/>
      <c r="C29" s="335"/>
      <c r="D29" s="336"/>
      <c r="E29" s="1105"/>
      <c r="F29" s="336"/>
      <c r="G29" s="1105"/>
      <c r="H29" s="336"/>
      <c r="I29" s="1105"/>
      <c r="J29" s="336"/>
      <c r="K29" s="499"/>
      <c r="L29" s="3002"/>
      <c r="M29" s="2993"/>
      <c r="N29" s="2993"/>
      <c r="O29" s="3001"/>
      <c r="P29" s="3614"/>
      <c r="Q29" s="1303"/>
      <c r="R29" s="631"/>
      <c r="S29" s="632"/>
      <c r="T29" s="631"/>
      <c r="U29" s="632"/>
      <c r="V29" s="631"/>
      <c r="W29" s="632"/>
      <c r="X29" s="1304"/>
      <c r="Y29" s="3614"/>
      <c r="Z29" s="1305"/>
      <c r="AA29" s="1306">
        <v>1</v>
      </c>
      <c r="AB29" s="1306">
        <v>1</v>
      </c>
      <c r="AC29" s="1306">
        <v>1</v>
      </c>
    </row>
    <row r="30" spans="1:29" ht="15">
      <c r="A30" s="318"/>
      <c r="B30" s="535" t="s">
        <v>2392</v>
      </c>
      <c r="C30" s="112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14"/>
      <c r="Q30" s="1303" t="str">
        <f t="shared" si="8"/>
        <v>土地级别</v>
      </c>
      <c r="R30" s="631" t="s">
        <v>25</v>
      </c>
      <c r="S30" s="632">
        <f t="shared" si="10"/>
        <v>100</v>
      </c>
      <c r="T30" s="631" t="s">
        <v>25</v>
      </c>
      <c r="U30" s="632">
        <f t="shared" si="11"/>
        <v>100</v>
      </c>
      <c r="V30" s="631" t="s">
        <v>25</v>
      </c>
      <c r="W30" s="632">
        <f t="shared" si="12"/>
        <v>100</v>
      </c>
      <c r="X30" s="1304"/>
      <c r="Y30" s="3614"/>
      <c r="Z30" s="1305" t="str">
        <f t="shared" si="13"/>
        <v>土地级别</v>
      </c>
      <c r="AA30" s="1306">
        <f t="shared" si="3"/>
        <v>1</v>
      </c>
      <c r="AB30" s="1306">
        <f t="shared" si="4"/>
        <v>1</v>
      </c>
      <c r="AC30" s="1306">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14"/>
      <c r="Q31" s="1303">
        <f t="shared" si="8"/>
        <v>111</v>
      </c>
      <c r="R31" s="631" t="s">
        <v>25</v>
      </c>
      <c r="S31" s="632">
        <f t="shared" si="10"/>
        <v>100</v>
      </c>
      <c r="T31" s="631" t="s">
        <v>25</v>
      </c>
      <c r="U31" s="632">
        <f t="shared" si="11"/>
        <v>100</v>
      </c>
      <c r="V31" s="631" t="s">
        <v>25</v>
      </c>
      <c r="W31" s="632">
        <f t="shared" si="12"/>
        <v>100</v>
      </c>
      <c r="X31" s="1304"/>
      <c r="Y31" s="3614"/>
      <c r="Z31" s="1305">
        <f t="shared" si="13"/>
        <v>111</v>
      </c>
      <c r="AA31" s="1306">
        <f t="shared" si="3"/>
        <v>1</v>
      </c>
      <c r="AB31" s="1306">
        <f t="shared" si="4"/>
        <v>1</v>
      </c>
      <c r="AC31" s="1306">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16" t="s">
        <v>2219</v>
      </c>
      <c r="Q32" s="1303">
        <f t="shared" si="8"/>
        <v>111</v>
      </c>
      <c r="R32" s="631" t="s">
        <v>25</v>
      </c>
      <c r="S32" s="632">
        <f t="shared" si="10"/>
        <v>100</v>
      </c>
      <c r="T32" s="631" t="s">
        <v>25</v>
      </c>
      <c r="U32" s="632">
        <f t="shared" si="11"/>
        <v>100</v>
      </c>
      <c r="V32" s="631" t="s">
        <v>25</v>
      </c>
      <c r="W32" s="632">
        <f t="shared" si="12"/>
        <v>100</v>
      </c>
      <c r="X32" s="1304"/>
      <c r="Y32" s="3617" t="s">
        <v>2219</v>
      </c>
      <c r="Z32" s="1305">
        <f t="shared" si="13"/>
        <v>111</v>
      </c>
      <c r="AA32" s="1306">
        <f t="shared" si="3"/>
        <v>1</v>
      </c>
      <c r="AB32" s="1306">
        <f t="shared" si="4"/>
        <v>1</v>
      </c>
      <c r="AC32" s="1306">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17"/>
      <c r="Q33" s="1303">
        <f t="shared" si="8"/>
        <v>111</v>
      </c>
      <c r="R33" s="634" t="s">
        <v>25</v>
      </c>
      <c r="S33" s="635">
        <f t="shared" si="10"/>
        <v>100</v>
      </c>
      <c r="T33" s="634" t="s">
        <v>25</v>
      </c>
      <c r="U33" s="635">
        <f t="shared" si="11"/>
        <v>100</v>
      </c>
      <c r="V33" s="634" t="s">
        <v>25</v>
      </c>
      <c r="W33" s="635">
        <f t="shared" si="12"/>
        <v>100</v>
      </c>
      <c r="X33" s="636"/>
      <c r="Y33" s="3617"/>
      <c r="Z33" s="637">
        <f t="shared" si="13"/>
        <v>111</v>
      </c>
      <c r="AA33" s="1306">
        <f t="shared" si="3"/>
        <v>1</v>
      </c>
      <c r="AB33" s="1306">
        <f t="shared" si="4"/>
        <v>1</v>
      </c>
      <c r="AC33" s="1306">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17"/>
      <c r="Q34" s="1303" t="str">
        <f>B34</f>
        <v>宗地面积</v>
      </c>
      <c r="R34" s="631" t="s">
        <v>25</v>
      </c>
      <c r="S34" s="632" t="e">
        <f t="shared" si="10"/>
        <v>#N/A</v>
      </c>
      <c r="T34" s="631" t="s">
        <v>25</v>
      </c>
      <c r="U34" s="632" t="e">
        <f t="shared" si="11"/>
        <v>#N/A</v>
      </c>
      <c r="V34" s="631" t="s">
        <v>25</v>
      </c>
      <c r="W34" s="632" t="e">
        <f t="shared" si="12"/>
        <v>#N/A</v>
      </c>
      <c r="X34" s="1304"/>
      <c r="Y34" s="3617"/>
      <c r="Z34" s="1305" t="str">
        <f t="shared" si="13"/>
        <v>宗地面积</v>
      </c>
      <c r="AA34" s="1306" t="e">
        <f t="shared" si="3"/>
        <v>#N/A</v>
      </c>
      <c r="AB34" s="1306" t="e">
        <f t="shared" si="4"/>
        <v>#N/A</v>
      </c>
      <c r="AC34" s="1306" t="e">
        <f t="shared" si="5"/>
        <v>#N/A</v>
      </c>
    </row>
    <row r="35" spans="1:29" ht="15">
      <c r="A35" s="360"/>
      <c r="B35" s="313" t="s">
        <v>2394</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3002"/>
      <c r="M35" s="2993"/>
      <c r="N35" s="2993"/>
      <c r="O35" s="3001"/>
      <c r="P35" s="3617"/>
      <c r="Q35" s="1303" t="str">
        <f t="shared" ref="Q35:Q40" si="14">B35</f>
        <v>宗地形状</v>
      </c>
      <c r="R35" s="631" t="s">
        <v>25</v>
      </c>
      <c r="S35" s="632">
        <f t="shared" si="10"/>
        <v>100</v>
      </c>
      <c r="T35" s="631" t="s">
        <v>25</v>
      </c>
      <c r="U35" s="632">
        <f t="shared" si="11"/>
        <v>100</v>
      </c>
      <c r="V35" s="631" t="s">
        <v>25</v>
      </c>
      <c r="W35" s="632">
        <f t="shared" si="12"/>
        <v>100</v>
      </c>
      <c r="X35" s="1304"/>
      <c r="Y35" s="3617"/>
      <c r="Z35" s="1305" t="str">
        <f t="shared" si="13"/>
        <v>宗地形状</v>
      </c>
      <c r="AA35" s="1306">
        <f t="shared" si="3"/>
        <v>1</v>
      </c>
      <c r="AB35" s="1306">
        <f t="shared" si="4"/>
        <v>1</v>
      </c>
      <c r="AC35" s="1306">
        <f t="shared" si="5"/>
        <v>1</v>
      </c>
    </row>
    <row r="36" spans="1:29" s="25" customFormat="1" ht="15">
      <c r="A36" s="361"/>
      <c r="B36" s="313" t="s">
        <v>2396</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94"/>
      <c r="M36" s="2995"/>
      <c r="N36" s="2995"/>
      <c r="O36" s="2996"/>
      <c r="P36" s="3617"/>
      <c r="Q36" s="1303" t="str">
        <f t="shared" si="14"/>
        <v>宗地开发程度</v>
      </c>
      <c r="R36" s="627" t="s">
        <v>25</v>
      </c>
      <c r="S36" s="628">
        <f t="shared" si="10"/>
        <v>100</v>
      </c>
      <c r="T36" s="627" t="s">
        <v>25</v>
      </c>
      <c r="U36" s="628">
        <f t="shared" si="11"/>
        <v>100</v>
      </c>
      <c r="V36" s="627" t="s">
        <v>25</v>
      </c>
      <c r="W36" s="628">
        <f t="shared" si="12"/>
        <v>100</v>
      </c>
      <c r="X36" s="629"/>
      <c r="Y36" s="3617"/>
      <c r="Z36" s="19" t="str">
        <f t="shared" si="13"/>
        <v>宗地开发程度</v>
      </c>
      <c r="AA36" s="630">
        <f t="shared" si="3"/>
        <v>1</v>
      </c>
      <c r="AB36" s="630">
        <f t="shared" si="4"/>
        <v>1</v>
      </c>
      <c r="AC36" s="630">
        <f t="shared" si="5"/>
        <v>1</v>
      </c>
    </row>
    <row r="37" spans="1:29" ht="15">
      <c r="A37" s="360"/>
      <c r="B37" s="313" t="s">
        <v>2397</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3002"/>
      <c r="M37" s="2993"/>
      <c r="N37" s="2993"/>
      <c r="O37" s="3001"/>
      <c r="P37" s="3617" t="s">
        <v>2219</v>
      </c>
      <c r="Q37" s="1303" t="str">
        <f t="shared" si="14"/>
        <v>工程地质条件</v>
      </c>
      <c r="R37" s="631" t="s">
        <v>25</v>
      </c>
      <c r="S37" s="632">
        <f t="shared" si="10"/>
        <v>100</v>
      </c>
      <c r="T37" s="631" t="s">
        <v>25</v>
      </c>
      <c r="U37" s="632">
        <f t="shared" si="11"/>
        <v>100</v>
      </c>
      <c r="V37" s="631" t="s">
        <v>25</v>
      </c>
      <c r="W37" s="632">
        <f t="shared" si="12"/>
        <v>100</v>
      </c>
      <c r="X37" s="1304"/>
      <c r="Y37" s="3617" t="s">
        <v>2219</v>
      </c>
      <c r="Z37" s="1305" t="str">
        <f t="shared" si="13"/>
        <v>工程地质条件</v>
      </c>
      <c r="AA37" s="1306">
        <f t="shared" si="3"/>
        <v>1</v>
      </c>
      <c r="AB37" s="1306">
        <f t="shared" si="4"/>
        <v>1</v>
      </c>
      <c r="AC37" s="1306">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17"/>
      <c r="Q38" s="1303">
        <f t="shared" si="14"/>
        <v>111</v>
      </c>
      <c r="R38" s="631" t="s">
        <v>25</v>
      </c>
      <c r="S38" s="632">
        <f t="shared" si="10"/>
        <v>100</v>
      </c>
      <c r="T38" s="631" t="s">
        <v>25</v>
      </c>
      <c r="U38" s="632">
        <f t="shared" si="11"/>
        <v>100</v>
      </c>
      <c r="V38" s="631" t="s">
        <v>25</v>
      </c>
      <c r="W38" s="632">
        <f t="shared" si="12"/>
        <v>100</v>
      </c>
      <c r="X38" s="1304"/>
      <c r="Y38" s="3617"/>
      <c r="Z38" s="1305">
        <f t="shared" si="13"/>
        <v>111</v>
      </c>
      <c r="AA38" s="1306">
        <f t="shared" si="3"/>
        <v>1</v>
      </c>
      <c r="AB38" s="1306">
        <f t="shared" si="4"/>
        <v>1</v>
      </c>
      <c r="AC38" s="1306">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17"/>
      <c r="Q39" s="1303">
        <f t="shared" si="14"/>
        <v>111</v>
      </c>
      <c r="R39" s="631" t="s">
        <v>25</v>
      </c>
      <c r="S39" s="632">
        <f t="shared" si="10"/>
        <v>100</v>
      </c>
      <c r="T39" s="631" t="s">
        <v>25</v>
      </c>
      <c r="U39" s="632">
        <f t="shared" si="11"/>
        <v>100</v>
      </c>
      <c r="V39" s="631" t="s">
        <v>25</v>
      </c>
      <c r="W39" s="632">
        <f t="shared" si="12"/>
        <v>100</v>
      </c>
      <c r="X39" s="1304"/>
      <c r="Y39" s="3617"/>
      <c r="Z39" s="1305">
        <f t="shared" si="13"/>
        <v>111</v>
      </c>
      <c r="AA39" s="1306">
        <f t="shared" si="3"/>
        <v>1</v>
      </c>
      <c r="AB39" s="1306">
        <f t="shared" si="4"/>
        <v>1</v>
      </c>
      <c r="AC39" s="1306">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17"/>
      <c r="Q40" s="1303">
        <f t="shared" si="14"/>
        <v>111</v>
      </c>
      <c r="R40" s="634" t="s">
        <v>25</v>
      </c>
      <c r="S40" s="635">
        <f t="shared" si="10"/>
        <v>100</v>
      </c>
      <c r="T40" s="634" t="s">
        <v>25</v>
      </c>
      <c r="U40" s="635">
        <f t="shared" si="11"/>
        <v>100</v>
      </c>
      <c r="V40" s="634" t="s">
        <v>25</v>
      </c>
      <c r="W40" s="635">
        <f t="shared" si="12"/>
        <v>100</v>
      </c>
      <c r="X40" s="636"/>
      <c r="Y40" s="3617"/>
      <c r="Z40" s="637">
        <f t="shared" si="13"/>
        <v>111</v>
      </c>
      <c r="AA40" s="1306">
        <f t="shared" si="3"/>
        <v>1</v>
      </c>
      <c r="AB40" s="1306">
        <f t="shared" si="4"/>
        <v>1</v>
      </c>
      <c r="AC40" s="1306">
        <f t="shared" si="5"/>
        <v>1</v>
      </c>
    </row>
    <row r="41" spans="1:29" ht="15">
      <c r="A41" s="367" t="s">
        <v>2361</v>
      </c>
      <c r="B41" s="1560" t="s">
        <v>2436</v>
      </c>
      <c r="C41" s="562" t="s">
        <v>1</v>
      </c>
      <c r="D41" s="369"/>
      <c r="E41" s="370"/>
      <c r="F41" s="371"/>
      <c r="G41" s="372"/>
      <c r="H41" s="373"/>
      <c r="I41" s="370"/>
      <c r="J41" s="373"/>
      <c r="K41" s="640"/>
      <c r="L41" s="3004"/>
      <c r="M41" s="2993"/>
      <c r="N41" s="2993"/>
      <c r="P41" s="3585" t="str">
        <f>A41</f>
        <v>成交单价</v>
      </c>
      <c r="Q41" s="3585"/>
      <c r="R41" s="3609">
        <f>E41</f>
        <v>0</v>
      </c>
      <c r="S41" s="3609"/>
      <c r="T41" s="3609">
        <f>G41</f>
        <v>0</v>
      </c>
      <c r="U41" s="3609"/>
      <c r="V41" s="3609">
        <f>I41</f>
        <v>0</v>
      </c>
      <c r="W41" s="3609"/>
      <c r="X41" s="618"/>
      <c r="Y41" s="638"/>
      <c r="Z41" s="618"/>
      <c r="AA41" s="618"/>
      <c r="AB41" s="618"/>
      <c r="AC41" s="618"/>
    </row>
    <row r="42" spans="1:29" ht="15.75" thickBot="1">
      <c r="A42" s="374" t="s">
        <v>2314</v>
      </c>
      <c r="B42" s="563"/>
      <c r="C42" s="377" t="e">
        <f>R43</f>
        <v>#DIV/0!</v>
      </c>
      <c r="D42" s="1766" t="s">
        <v>2688</v>
      </c>
      <c r="E42" s="377" t="e">
        <f>R42</f>
        <v>#DIV/0!</v>
      </c>
      <c r="F42" s="1768"/>
      <c r="G42" s="376" t="e">
        <f>T42</f>
        <v>#DIV/0!</v>
      </c>
      <c r="H42" s="1768"/>
      <c r="I42" s="377" t="e">
        <f>V42</f>
        <v>#DIV/0!</v>
      </c>
      <c r="J42" s="1768"/>
      <c r="K42" s="2480">
        <f>F42+H42+J42</f>
        <v>0</v>
      </c>
      <c r="L42" s="3004"/>
      <c r="M42" s="2993"/>
      <c r="N42" s="2993"/>
      <c r="P42" s="3585" t="str">
        <f>A42</f>
        <v>比较价值（元/平方米）</v>
      </c>
      <c r="Q42" s="3585"/>
      <c r="R42" s="3702" t="e">
        <f>ROUND(PRODUCT(R41,AA7:AA40),0)</f>
        <v>#DIV/0!</v>
      </c>
      <c r="S42" s="3702"/>
      <c r="T42" s="3702" t="e">
        <f>ROUND(PRODUCT(T41,AB7:AB40),0)</f>
        <v>#DIV/0!</v>
      </c>
      <c r="U42" s="3702"/>
      <c r="V42" s="3702" t="e">
        <f>ROUND(PRODUCT(V41,AC7:AC40),0)</f>
        <v>#DIV/0!</v>
      </c>
      <c r="W42" s="3702"/>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4"/>
      <c r="M43" s="2993"/>
      <c r="N43" s="2993"/>
      <c r="P43" s="3620" t="str">
        <f>A43</f>
        <v>估价对象XX用房的比较价值（楼面单价，元/平方米）</v>
      </c>
      <c r="Q43" s="3621"/>
      <c r="R43" s="3701" t="e">
        <f>ROUND(IF(D42="简单平均",AVERAGE(R42:W42),R42*F42+T42*H42+V42*J42),0)</f>
        <v>#DIV/0!</v>
      </c>
      <c r="S43" s="3701"/>
      <c r="T43" s="3701"/>
      <c r="U43" s="3701"/>
      <c r="V43" s="3701"/>
      <c r="W43" s="3701"/>
      <c r="X43" s="618"/>
      <c r="Y43" s="618"/>
      <c r="Z43" s="618"/>
      <c r="AA43" s="618"/>
      <c r="AB43" s="618"/>
      <c r="AC43" s="618"/>
    </row>
    <row r="44" spans="1:29">
      <c r="G44" s="3007"/>
      <c r="M44" s="2993"/>
      <c r="N44" s="2993"/>
    </row>
    <row r="45" spans="1:29">
      <c r="M45" s="2993"/>
      <c r="N45" s="2993"/>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2399</v>
      </c>
      <c r="B50" s="565" t="s">
        <v>2400</v>
      </c>
      <c r="C50" s="1561" t="s">
        <v>2401</v>
      </c>
      <c r="D50" s="1562" t="s">
        <v>2402</v>
      </c>
      <c r="E50" s="566" t="s">
        <v>2403</v>
      </c>
      <c r="F50" s="567" t="s">
        <v>2404</v>
      </c>
      <c r="G50" s="1305" t="s">
        <v>2437</v>
      </c>
      <c r="H50" s="1305" t="str">
        <f>项目基本情况!G8</f>
        <v>XX</v>
      </c>
      <c r="I50" s="1279"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2" t="str">
        <f>YEAR(C7)&amp;"-"&amp;MONTH(C7)&amp;"-1"</f>
        <v>2021-12-1</v>
      </c>
      <c r="D63" s="1152">
        <f>EDATE(C63,-3)</f>
        <v>44440</v>
      </c>
      <c r="E63" s="1152">
        <f t="shared" ref="E63:O63" si="18">EDATE(D63,-3)</f>
        <v>44348</v>
      </c>
      <c r="F63" s="1152">
        <f t="shared" si="18"/>
        <v>44256</v>
      </c>
      <c r="G63" s="1152">
        <f t="shared" si="18"/>
        <v>44166</v>
      </c>
      <c r="H63" s="1152">
        <f t="shared" si="18"/>
        <v>44075</v>
      </c>
      <c r="I63" s="1152">
        <f t="shared" si="18"/>
        <v>43983</v>
      </c>
      <c r="J63" s="1152">
        <f t="shared" si="18"/>
        <v>43891</v>
      </c>
      <c r="K63" s="1152">
        <f t="shared" si="18"/>
        <v>43800</v>
      </c>
      <c r="L63" s="1152">
        <f t="shared" si="18"/>
        <v>43709</v>
      </c>
      <c r="M63" s="1152">
        <f t="shared" si="18"/>
        <v>43617</v>
      </c>
      <c r="N63" s="1152">
        <f t="shared" si="18"/>
        <v>43525</v>
      </c>
      <c r="O63" s="1152">
        <f t="shared" si="18"/>
        <v>43435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4" t="s">
        <v>2418</v>
      </c>
      <c r="B65" s="1096"/>
      <c r="C65" s="1153" t="str">
        <f>YEAR(C63)&amp;"-"&amp;ROUNDUP(MONTH(C63)/3,0)</f>
        <v>2021-4</v>
      </c>
      <c r="D65" s="1153" t="str">
        <f t="shared" ref="D65:O65" si="19">YEAR(D63)&amp;"-"&amp;ROUNDUP(MONTH(D63)/3,0)</f>
        <v>2021-3</v>
      </c>
      <c r="E65" s="1153" t="str">
        <f t="shared" si="19"/>
        <v>2021-2</v>
      </c>
      <c r="F65" s="1153" t="str">
        <f t="shared" si="19"/>
        <v>2021-1</v>
      </c>
      <c r="G65" s="1153" t="str">
        <f t="shared" si="19"/>
        <v>2020-4</v>
      </c>
      <c r="H65" s="1153" t="str">
        <f t="shared" si="19"/>
        <v>2020-3</v>
      </c>
      <c r="I65" s="1153" t="str">
        <f t="shared" si="19"/>
        <v>2020-2</v>
      </c>
      <c r="J65" s="1153" t="str">
        <f t="shared" si="19"/>
        <v>2020-1</v>
      </c>
      <c r="K65" s="1153" t="str">
        <f t="shared" si="19"/>
        <v>2019-4</v>
      </c>
      <c r="L65" s="1153" t="str">
        <f t="shared" si="19"/>
        <v>2019-3</v>
      </c>
      <c r="M65" s="1153" t="str">
        <f t="shared" si="19"/>
        <v>2019-2</v>
      </c>
      <c r="N65" s="1153" t="str">
        <f t="shared" si="19"/>
        <v>2019-1</v>
      </c>
      <c r="O65" s="1153" t="str">
        <f t="shared" si="19"/>
        <v>2018-4</v>
      </c>
      <c r="P65" s="393"/>
    </row>
    <row r="66" spans="1:17" s="25" customFormat="1" ht="33.75" customHeight="1">
      <c r="A66" s="1569" t="s">
        <v>2438</v>
      </c>
      <c r="B66" s="200" t="str">
        <f>"北京市平均增长率"&amp;TEXT(基准地价修正!P24,"0.00%")</f>
        <v>北京市平均增长率1.22%</v>
      </c>
      <c r="C66" s="491">
        <v>100</v>
      </c>
      <c r="D66" s="483"/>
      <c r="E66" s="483"/>
      <c r="F66" s="483"/>
      <c r="G66" s="483"/>
      <c r="H66" s="483"/>
      <c r="I66" s="483"/>
      <c r="J66" s="483"/>
      <c r="K66" s="483"/>
      <c r="L66" s="483"/>
      <c r="M66" s="1151"/>
      <c r="N66" s="483"/>
      <c r="O66" s="1154"/>
      <c r="P66" s="390"/>
    </row>
    <row r="67" spans="1:17" s="25" customFormat="1" ht="15.75" thickBot="1">
      <c r="A67" s="400" t="s">
        <v>2239</v>
      </c>
      <c r="B67" s="401"/>
      <c r="C67" s="402"/>
      <c r="D67" s="403"/>
      <c r="E67" s="403"/>
      <c r="F67" s="403"/>
      <c r="G67" s="403"/>
      <c r="H67" s="403"/>
      <c r="I67" s="403"/>
      <c r="J67" s="403"/>
      <c r="K67" s="403"/>
      <c r="L67" s="403"/>
      <c r="M67" s="404"/>
      <c r="N67" s="403"/>
      <c r="O67" s="1155"/>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9"/>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2" t="str">
        <f t="shared" ref="C107:L107" si="25">C108&amp;"(含)"&amp;"-"&amp;D108</f>
        <v>(含)-</v>
      </c>
      <c r="D107" s="1282" t="str">
        <f t="shared" si="25"/>
        <v>(含)-</v>
      </c>
      <c r="E107" s="1282" t="str">
        <f t="shared" si="25"/>
        <v>(含)-</v>
      </c>
      <c r="F107" s="1282" t="str">
        <f t="shared" si="25"/>
        <v>(含)-</v>
      </c>
      <c r="G107" s="1282" t="str">
        <f t="shared" si="25"/>
        <v>(含)-</v>
      </c>
      <c r="H107" s="1282" t="str">
        <f t="shared" si="25"/>
        <v>(含)-</v>
      </c>
      <c r="I107" s="1282" t="str">
        <f t="shared" si="25"/>
        <v>(含)-</v>
      </c>
      <c r="J107" s="1282" t="str">
        <f t="shared" si="25"/>
        <v>(含)-</v>
      </c>
      <c r="K107" s="1282" t="str">
        <f t="shared" si="25"/>
        <v>(含)-</v>
      </c>
      <c r="L107" s="1283" t="str">
        <f t="shared" si="25"/>
        <v>(含)-</v>
      </c>
      <c r="M107" s="128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3" t="s">
        <v>779</v>
      </c>
      <c r="B1" s="370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f>IF(基准地价修正!E2="工业",SUMIF(基准地价修正!L1:L12,基准地价修正!G2,基准地价修正!N1:N12),"——")</f>
        <v>0</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3" t="s">
        <v>105</v>
      </c>
      <c r="B1" s="3703"/>
      <c r="C1" s="3703"/>
      <c r="D1" s="3703"/>
      <c r="E1" s="3703"/>
      <c r="F1" s="370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4" t="s">
        <v>118</v>
      </c>
      <c r="B2" s="3704"/>
      <c r="C2" s="3704"/>
      <c r="D2" s="3704"/>
      <c r="E2" s="3704"/>
      <c r="F2" s="370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7" t="s">
        <v>132</v>
      </c>
      <c r="B18" s="768" t="s">
        <v>517</v>
      </c>
      <c r="C18" s="769" t="s">
        <v>518</v>
      </c>
      <c r="D18" s="770"/>
      <c r="E18" s="768">
        <v>1</v>
      </c>
      <c r="F18" s="771" t="s">
        <v>519</v>
      </c>
      <c r="G18" s="772"/>
      <c r="H18" s="764"/>
      <c r="I18" s="764"/>
    </row>
    <row r="19" spans="1:9" s="773" customFormat="1" ht="19.5" customHeight="1">
      <c r="A19" s="3707"/>
      <c r="B19" s="3707" t="s">
        <v>520</v>
      </c>
      <c r="C19" s="769" t="s">
        <v>521</v>
      </c>
      <c r="D19" s="770"/>
      <c r="E19" s="768">
        <v>0.9</v>
      </c>
      <c r="F19" s="771" t="s">
        <v>522</v>
      </c>
      <c r="G19" s="772"/>
      <c r="H19" s="764"/>
      <c r="I19" s="764"/>
    </row>
    <row r="20" spans="1:9" s="773" customFormat="1" ht="19.5" customHeight="1">
      <c r="A20" s="3707"/>
      <c r="B20" s="3707"/>
      <c r="C20" s="769" t="s">
        <v>523</v>
      </c>
      <c r="D20" s="770"/>
      <c r="E20" s="768">
        <v>1.1000000000000001</v>
      </c>
      <c r="F20" s="771" t="s">
        <v>524</v>
      </c>
      <c r="G20" s="772"/>
      <c r="H20" s="764"/>
      <c r="I20" s="764"/>
    </row>
    <row r="21" spans="1:9" s="773" customFormat="1" ht="19.5" customHeight="1">
      <c r="A21" s="3707"/>
      <c r="B21" s="3707"/>
      <c r="C21" s="769" t="s">
        <v>525</v>
      </c>
      <c r="D21" s="770"/>
      <c r="E21" s="768">
        <v>0.8</v>
      </c>
      <c r="F21" s="771" t="s">
        <v>526</v>
      </c>
      <c r="G21" s="772"/>
      <c r="H21" s="764"/>
      <c r="I21" s="764"/>
    </row>
    <row r="22" spans="1:9" s="773" customFormat="1" ht="19.5" customHeight="1">
      <c r="A22" s="3707"/>
      <c r="B22" s="3707"/>
      <c r="C22" s="769" t="s">
        <v>527</v>
      </c>
      <c r="D22" s="770"/>
      <c r="E22" s="768">
        <v>0.5</v>
      </c>
      <c r="F22" s="771"/>
      <c r="G22" s="772"/>
      <c r="H22" s="764"/>
      <c r="I22" s="764"/>
    </row>
    <row r="23" spans="1:9" s="773" customFormat="1" ht="19.5" customHeight="1">
      <c r="A23" s="3707" t="s">
        <v>133</v>
      </c>
      <c r="B23" s="768" t="s">
        <v>517</v>
      </c>
      <c r="C23" s="769" t="s">
        <v>528</v>
      </c>
      <c r="D23" s="770"/>
      <c r="E23" s="768">
        <v>1</v>
      </c>
      <c r="F23" s="771" t="s">
        <v>529</v>
      </c>
      <c r="G23" s="772"/>
      <c r="H23" s="764"/>
      <c r="I23" s="764"/>
    </row>
    <row r="24" spans="1:9" s="773" customFormat="1" ht="19.5" customHeight="1">
      <c r="A24" s="3707"/>
      <c r="B24" s="3707" t="s">
        <v>520</v>
      </c>
      <c r="C24" s="769" t="s">
        <v>530</v>
      </c>
      <c r="D24" s="770"/>
      <c r="E24" s="768">
        <v>0.5</v>
      </c>
      <c r="F24" s="771"/>
      <c r="G24" s="772"/>
      <c r="H24" s="764"/>
      <c r="I24" s="764"/>
    </row>
    <row r="25" spans="1:9" s="773" customFormat="1" ht="19.5" customHeight="1">
      <c r="A25" s="3707"/>
      <c r="B25" s="3707"/>
      <c r="C25" s="769" t="s">
        <v>531</v>
      </c>
      <c r="D25" s="770"/>
      <c r="E25" s="768">
        <v>1.1000000000000001</v>
      </c>
      <c r="F25" s="771"/>
      <c r="G25" s="772"/>
      <c r="H25" s="764"/>
      <c r="I25" s="764"/>
    </row>
    <row r="26" spans="1:9" s="773" customFormat="1" ht="19.5" customHeight="1">
      <c r="A26" s="3707"/>
      <c r="B26" s="3707"/>
      <c r="C26" s="769" t="s">
        <v>532</v>
      </c>
      <c r="D26" s="770"/>
      <c r="E26" s="768">
        <v>1.1000000000000001</v>
      </c>
      <c r="F26" s="771"/>
      <c r="G26" s="772"/>
      <c r="H26" s="764"/>
      <c r="I26" s="764"/>
    </row>
    <row r="27" spans="1:9" s="773" customFormat="1" ht="19.5" customHeight="1">
      <c r="A27" s="3707"/>
      <c r="B27" s="3707"/>
      <c r="C27" s="769" t="s">
        <v>533</v>
      </c>
      <c r="D27" s="770"/>
      <c r="E27" s="768">
        <v>0.9</v>
      </c>
      <c r="F27" s="771" t="s">
        <v>534</v>
      </c>
      <c r="G27" s="772"/>
      <c r="H27" s="764"/>
      <c r="I27" s="764"/>
    </row>
    <row r="28" spans="1:9" s="773" customFormat="1" ht="19.5" customHeight="1">
      <c r="A28" s="3707"/>
      <c r="B28" s="3707"/>
      <c r="C28" s="769" t="s">
        <v>535</v>
      </c>
      <c r="D28" s="770"/>
      <c r="E28" s="768">
        <v>0.9</v>
      </c>
      <c r="F28" s="771" t="s">
        <v>536</v>
      </c>
      <c r="G28" s="772"/>
      <c r="H28" s="764"/>
      <c r="I28" s="764"/>
    </row>
    <row r="29" spans="1:9" s="773" customFormat="1" ht="19.5" customHeight="1">
      <c r="A29" s="3707"/>
      <c r="B29" s="3707"/>
      <c r="C29" s="769" t="s">
        <v>537</v>
      </c>
      <c r="D29" s="770"/>
      <c r="E29" s="768">
        <v>0.9</v>
      </c>
      <c r="F29" s="771" t="s">
        <v>538</v>
      </c>
      <c r="G29" s="772"/>
      <c r="H29" s="764"/>
      <c r="I29" s="764"/>
    </row>
    <row r="30" spans="1:9" s="773" customFormat="1" ht="19.5" customHeight="1">
      <c r="A30" s="3707"/>
      <c r="B30" s="3707"/>
      <c r="C30" s="769" t="s">
        <v>539</v>
      </c>
      <c r="D30" s="770"/>
      <c r="E30" s="768">
        <v>0.9</v>
      </c>
      <c r="F30" s="771" t="s">
        <v>540</v>
      </c>
      <c r="G30" s="772"/>
      <c r="H30" s="764"/>
      <c r="I30" s="764"/>
    </row>
    <row r="31" spans="1:9" s="773" customFormat="1" ht="19.5" customHeight="1">
      <c r="A31" s="3707"/>
      <c r="B31" s="3707"/>
      <c r="C31" s="769" t="s">
        <v>541</v>
      </c>
      <c r="D31" s="770"/>
      <c r="E31" s="768">
        <v>0.8</v>
      </c>
      <c r="F31" s="771" t="s">
        <v>542</v>
      </c>
      <c r="G31" s="772"/>
      <c r="H31" s="764"/>
      <c r="I31" s="764"/>
    </row>
    <row r="32" spans="1:9" s="773" customFormat="1" ht="19.5" customHeight="1">
      <c r="A32" s="3707"/>
      <c r="B32" s="3707"/>
      <c r="C32" s="769" t="s">
        <v>543</v>
      </c>
      <c r="D32" s="770"/>
      <c r="E32" s="768">
        <v>0.8</v>
      </c>
      <c r="F32" s="771" t="s">
        <v>544</v>
      </c>
      <c r="G32" s="772"/>
      <c r="H32" s="764"/>
      <c r="I32" s="764"/>
    </row>
    <row r="33" spans="1:9" s="773" customFormat="1" ht="19.5" customHeight="1">
      <c r="A33" s="3707" t="s">
        <v>134</v>
      </c>
      <c r="B33" s="768" t="s">
        <v>517</v>
      </c>
      <c r="C33" s="769" t="s">
        <v>545</v>
      </c>
      <c r="D33" s="770"/>
      <c r="E33" s="768">
        <v>1</v>
      </c>
      <c r="F33" s="771" t="s">
        <v>546</v>
      </c>
      <c r="G33" s="772"/>
      <c r="H33" s="764"/>
      <c r="I33" s="764"/>
    </row>
    <row r="34" spans="1:9" s="773" customFormat="1" ht="19.5" customHeight="1">
      <c r="A34" s="3707"/>
      <c r="B34" s="768" t="s">
        <v>520</v>
      </c>
      <c r="C34" s="769" t="s">
        <v>547</v>
      </c>
      <c r="D34" s="770"/>
      <c r="E34" s="768">
        <v>1.5</v>
      </c>
      <c r="F34" s="771" t="s">
        <v>548</v>
      </c>
      <c r="G34" s="772"/>
      <c r="H34" s="764"/>
      <c r="I34" s="764"/>
    </row>
    <row r="35" spans="1:9" s="773" customFormat="1" ht="19.5" customHeight="1">
      <c r="A35" s="3707" t="s">
        <v>135</v>
      </c>
      <c r="B35" s="768" t="s">
        <v>517</v>
      </c>
      <c r="C35" s="769" t="s">
        <v>549</v>
      </c>
      <c r="D35" s="770"/>
      <c r="E35" s="768">
        <v>1</v>
      </c>
      <c r="F35" s="771" t="s">
        <v>550</v>
      </c>
      <c r="G35" s="772"/>
      <c r="H35" s="764"/>
      <c r="I35" s="764"/>
    </row>
    <row r="36" spans="1:9" s="773" customFormat="1" ht="19.5" customHeight="1">
      <c r="A36" s="3707"/>
      <c r="B36" s="3707" t="s">
        <v>520</v>
      </c>
      <c r="C36" s="769" t="s">
        <v>551</v>
      </c>
      <c r="D36" s="770"/>
      <c r="E36" s="768">
        <v>1</v>
      </c>
      <c r="F36" s="771" t="s">
        <v>552</v>
      </c>
      <c r="G36" s="772"/>
      <c r="H36" s="764"/>
      <c r="I36" s="764"/>
    </row>
    <row r="37" spans="1:9" s="773" customFormat="1" ht="19.5" customHeight="1">
      <c r="A37" s="3707"/>
      <c r="B37" s="3707"/>
      <c r="C37" s="769" t="s">
        <v>553</v>
      </c>
      <c r="D37" s="770"/>
      <c r="E37" s="768">
        <v>1.5</v>
      </c>
      <c r="F37" s="771" t="s">
        <v>554</v>
      </c>
      <c r="G37" s="772"/>
      <c r="H37" s="764"/>
      <c r="I37" s="764"/>
    </row>
    <row r="38" spans="1:9" s="773" customFormat="1" ht="19.5" customHeight="1">
      <c r="A38" s="3707"/>
      <c r="B38" s="3707"/>
      <c r="C38" s="769" t="s">
        <v>555</v>
      </c>
      <c r="D38" s="770"/>
      <c r="E38" s="768">
        <v>1</v>
      </c>
      <c r="F38" s="771" t="s">
        <v>556</v>
      </c>
      <c r="G38" s="772"/>
      <c r="H38" s="764"/>
      <c r="I38" s="764"/>
    </row>
    <row r="39" spans="1:9" s="773" customFormat="1" ht="19.5" customHeight="1">
      <c r="A39" s="3707"/>
      <c r="B39" s="370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7" t="s">
        <v>571</v>
      </c>
      <c r="C61" s="682" t="s">
        <v>572</v>
      </c>
      <c r="D61" s="682" t="s">
        <v>573</v>
      </c>
      <c r="E61" s="781">
        <v>0.5</v>
      </c>
      <c r="F61" s="768">
        <v>80</v>
      </c>
    </row>
    <row r="62" spans="1:8" s="764" customFormat="1" ht="24">
      <c r="A62" s="768">
        <v>2</v>
      </c>
      <c r="B62" s="3707"/>
      <c r="C62" s="682" t="s">
        <v>574</v>
      </c>
      <c r="D62" s="682" t="s">
        <v>575</v>
      </c>
      <c r="E62" s="781">
        <v>0.5</v>
      </c>
      <c r="F62" s="768">
        <v>80</v>
      </c>
    </row>
    <row r="63" spans="1:8" s="764" customFormat="1" ht="36">
      <c r="A63" s="768">
        <v>3</v>
      </c>
      <c r="B63" s="3707"/>
      <c r="C63" s="682" t="s">
        <v>576</v>
      </c>
      <c r="D63" s="682" t="s">
        <v>577</v>
      </c>
      <c r="E63" s="781">
        <v>0.5</v>
      </c>
      <c r="F63" s="768">
        <v>80</v>
      </c>
    </row>
    <row r="64" spans="1:8" s="764" customFormat="1" ht="36">
      <c r="A64" s="768">
        <v>4</v>
      </c>
      <c r="B64" s="3707"/>
      <c r="C64" s="682" t="s">
        <v>578</v>
      </c>
      <c r="D64" s="682" t="s">
        <v>579</v>
      </c>
      <c r="E64" s="781">
        <v>0.4</v>
      </c>
      <c r="F64" s="768">
        <v>60</v>
      </c>
    </row>
    <row r="65" spans="1:6" s="764" customFormat="1" ht="36">
      <c r="A65" s="768">
        <v>5</v>
      </c>
      <c r="B65" s="3707"/>
      <c r="C65" s="682" t="s">
        <v>580</v>
      </c>
      <c r="D65" s="682" t="s">
        <v>581</v>
      </c>
      <c r="E65" s="781">
        <v>0.2</v>
      </c>
      <c r="F65" s="768">
        <v>30</v>
      </c>
    </row>
    <row r="66" spans="1:6" s="764" customFormat="1" ht="36">
      <c r="A66" s="768">
        <v>6</v>
      </c>
      <c r="B66" s="3707"/>
      <c r="C66" s="682" t="s">
        <v>582</v>
      </c>
      <c r="D66" s="682" t="s">
        <v>583</v>
      </c>
      <c r="E66" s="781">
        <v>0.3</v>
      </c>
      <c r="F66" s="768">
        <v>50</v>
      </c>
    </row>
    <row r="67" spans="1:6" s="764" customFormat="1" ht="36">
      <c r="A67" s="768">
        <v>7</v>
      </c>
      <c r="B67" s="3707"/>
      <c r="C67" s="682" t="s">
        <v>584</v>
      </c>
      <c r="D67" s="682" t="s">
        <v>585</v>
      </c>
      <c r="E67" s="781">
        <v>0.2</v>
      </c>
      <c r="F67" s="768">
        <v>30</v>
      </c>
    </row>
    <row r="68" spans="1:6" s="764" customFormat="1" ht="36">
      <c r="A68" s="768">
        <v>8</v>
      </c>
      <c r="B68" s="3707"/>
      <c r="C68" s="682" t="s">
        <v>586</v>
      </c>
      <c r="D68" s="682" t="s">
        <v>587</v>
      </c>
      <c r="E68" s="781">
        <v>0.2</v>
      </c>
      <c r="F68" s="768">
        <v>30</v>
      </c>
    </row>
    <row r="69" spans="1:6" s="764" customFormat="1" ht="36">
      <c r="A69" s="768">
        <v>9</v>
      </c>
      <c r="B69" s="3707"/>
      <c r="C69" s="682" t="s">
        <v>588</v>
      </c>
      <c r="D69" s="682" t="s">
        <v>589</v>
      </c>
      <c r="E69" s="781">
        <v>0.2</v>
      </c>
      <c r="F69" s="768">
        <v>30</v>
      </c>
    </row>
    <row r="70" spans="1:6" s="764" customFormat="1" ht="48">
      <c r="A70" s="768">
        <v>10</v>
      </c>
      <c r="B70" s="3707"/>
      <c r="C70" s="682" t="s">
        <v>590</v>
      </c>
      <c r="D70" s="682" t="s">
        <v>591</v>
      </c>
      <c r="E70" s="781">
        <v>0.2</v>
      </c>
      <c r="F70" s="768">
        <v>30</v>
      </c>
    </row>
    <row r="71" spans="1:6" s="764" customFormat="1" ht="48">
      <c r="A71" s="768">
        <v>11</v>
      </c>
      <c r="B71" s="3707"/>
      <c r="C71" s="682" t="s">
        <v>592</v>
      </c>
      <c r="D71" s="682" t="s">
        <v>593</v>
      </c>
      <c r="E71" s="781">
        <v>0.2</v>
      </c>
      <c r="F71" s="768">
        <v>30</v>
      </c>
    </row>
    <row r="72" spans="1:6" s="764" customFormat="1" ht="36">
      <c r="A72" s="768">
        <v>12</v>
      </c>
      <c r="B72" s="3707"/>
      <c r="C72" s="682" t="s">
        <v>594</v>
      </c>
      <c r="D72" s="682" t="s">
        <v>595</v>
      </c>
      <c r="E72" s="781">
        <v>0.5</v>
      </c>
      <c r="F72" s="768">
        <v>80</v>
      </c>
    </row>
    <row r="73" spans="1:6" s="764" customFormat="1" ht="24">
      <c r="A73" s="768">
        <v>13</v>
      </c>
      <c r="B73" s="3707"/>
      <c r="C73" s="682" t="s">
        <v>596</v>
      </c>
      <c r="D73" s="682" t="s">
        <v>597</v>
      </c>
      <c r="E73" s="781">
        <v>0.4</v>
      </c>
      <c r="F73" s="768">
        <v>60</v>
      </c>
    </row>
    <row r="74" spans="1:6" s="764" customFormat="1" ht="24">
      <c r="A74" s="768">
        <v>14</v>
      </c>
      <c r="B74" s="3707"/>
      <c r="C74" s="682" t="s">
        <v>598</v>
      </c>
      <c r="D74" s="682" t="s">
        <v>599</v>
      </c>
      <c r="E74" s="781">
        <v>0.2</v>
      </c>
      <c r="F74" s="768">
        <v>30</v>
      </c>
    </row>
    <row r="75" spans="1:6" s="764" customFormat="1" ht="24">
      <c r="A75" s="768">
        <v>15</v>
      </c>
      <c r="B75" s="3707"/>
      <c r="C75" s="682" t="s">
        <v>600</v>
      </c>
      <c r="D75" s="682" t="s">
        <v>601</v>
      </c>
      <c r="E75" s="781">
        <v>0.2</v>
      </c>
      <c r="F75" s="768">
        <v>30</v>
      </c>
    </row>
    <row r="76" spans="1:6" s="764" customFormat="1" ht="24">
      <c r="A76" s="768">
        <v>16</v>
      </c>
      <c r="B76" s="3707" t="s">
        <v>602</v>
      </c>
      <c r="C76" s="682" t="s">
        <v>603</v>
      </c>
      <c r="D76" s="682" t="s">
        <v>604</v>
      </c>
      <c r="E76" s="781">
        <v>0.5</v>
      </c>
      <c r="F76" s="768">
        <v>80</v>
      </c>
    </row>
    <row r="77" spans="1:6" s="764" customFormat="1" ht="24">
      <c r="A77" s="768">
        <v>17</v>
      </c>
      <c r="B77" s="3707"/>
      <c r="C77" s="682" t="s">
        <v>605</v>
      </c>
      <c r="D77" s="682" t="s">
        <v>606</v>
      </c>
      <c r="E77" s="781">
        <v>0.5</v>
      </c>
      <c r="F77" s="768">
        <v>80</v>
      </c>
    </row>
    <row r="78" spans="1:6" s="764" customFormat="1" ht="24">
      <c r="A78" s="768">
        <v>18</v>
      </c>
      <c r="B78" s="3707"/>
      <c r="C78" s="682" t="s">
        <v>607</v>
      </c>
      <c r="D78" s="682" t="s">
        <v>608</v>
      </c>
      <c r="E78" s="781">
        <v>0.2</v>
      </c>
      <c r="F78" s="768">
        <v>30</v>
      </c>
    </row>
    <row r="79" spans="1:6" s="764" customFormat="1" ht="24">
      <c r="A79" s="768">
        <v>19</v>
      </c>
      <c r="B79" s="3707"/>
      <c r="C79" s="682" t="s">
        <v>609</v>
      </c>
      <c r="D79" s="682" t="s">
        <v>610</v>
      </c>
      <c r="E79" s="781">
        <v>0.5</v>
      </c>
      <c r="F79" s="768">
        <v>80</v>
      </c>
    </row>
    <row r="80" spans="1:6" s="764" customFormat="1" ht="36">
      <c r="A80" s="768">
        <v>20</v>
      </c>
      <c r="B80" s="3707"/>
      <c r="C80" s="682" t="s">
        <v>611</v>
      </c>
      <c r="D80" s="682" t="s">
        <v>612</v>
      </c>
      <c r="E80" s="781">
        <v>0.2</v>
      </c>
      <c r="F80" s="768">
        <v>30</v>
      </c>
    </row>
    <row r="81" spans="1:6" s="764" customFormat="1" ht="36">
      <c r="A81" s="768">
        <v>21</v>
      </c>
      <c r="B81" s="3707"/>
      <c r="C81" s="682" t="s">
        <v>613</v>
      </c>
      <c r="D81" s="682" t="s">
        <v>614</v>
      </c>
      <c r="E81" s="781">
        <v>0.2</v>
      </c>
      <c r="F81" s="768">
        <v>30</v>
      </c>
    </row>
    <row r="82" spans="1:6" s="764" customFormat="1" ht="48">
      <c r="A82" s="768">
        <v>22</v>
      </c>
      <c r="B82" s="3707"/>
      <c r="C82" s="682" t="s">
        <v>615</v>
      </c>
      <c r="D82" s="682" t="s">
        <v>616</v>
      </c>
      <c r="E82" s="781">
        <v>0.2</v>
      </c>
      <c r="F82" s="768">
        <v>30</v>
      </c>
    </row>
    <row r="83" spans="1:6" s="764" customFormat="1" ht="48">
      <c r="A83" s="768">
        <v>23</v>
      </c>
      <c r="B83" s="3707"/>
      <c r="C83" s="682" t="s">
        <v>617</v>
      </c>
      <c r="D83" s="682" t="s">
        <v>618</v>
      </c>
      <c r="E83" s="781">
        <v>0.2</v>
      </c>
      <c r="F83" s="768">
        <v>30</v>
      </c>
    </row>
    <row r="84" spans="1:6" s="764" customFormat="1" ht="36">
      <c r="A84" s="768">
        <v>24</v>
      </c>
      <c r="B84" s="3707"/>
      <c r="C84" s="682" t="s">
        <v>619</v>
      </c>
      <c r="D84" s="682" t="s">
        <v>620</v>
      </c>
      <c r="E84" s="781">
        <v>0.2</v>
      </c>
      <c r="F84" s="768">
        <v>30</v>
      </c>
    </row>
    <row r="85" spans="1:6" s="764" customFormat="1" ht="36">
      <c r="A85" s="768">
        <v>25</v>
      </c>
      <c r="B85" s="3707"/>
      <c r="C85" s="682" t="s">
        <v>621</v>
      </c>
      <c r="D85" s="682" t="s">
        <v>622</v>
      </c>
      <c r="E85" s="781">
        <v>0.5</v>
      </c>
      <c r="F85" s="768">
        <v>80</v>
      </c>
    </row>
    <row r="86" spans="1:6" s="764" customFormat="1" ht="36">
      <c r="A86" s="768">
        <v>26</v>
      </c>
      <c r="B86" s="3707"/>
      <c r="C86" s="682" t="s">
        <v>623</v>
      </c>
      <c r="D86" s="682" t="s">
        <v>624</v>
      </c>
      <c r="E86" s="781">
        <v>0.2</v>
      </c>
      <c r="F86" s="768">
        <v>30</v>
      </c>
    </row>
    <row r="87" spans="1:6" s="764" customFormat="1" ht="36">
      <c r="A87" s="768">
        <v>27</v>
      </c>
      <c r="B87" s="3707"/>
      <c r="C87" s="682" t="s">
        <v>625</v>
      </c>
      <c r="D87" s="682" t="s">
        <v>626</v>
      </c>
      <c r="E87" s="781">
        <v>0.2</v>
      </c>
      <c r="F87" s="768">
        <v>30</v>
      </c>
    </row>
    <row r="88" spans="1:6" s="764" customFormat="1" ht="36">
      <c r="A88" s="768">
        <v>28</v>
      </c>
      <c r="B88" s="3707"/>
      <c r="C88" s="682" t="s">
        <v>627</v>
      </c>
      <c r="D88" s="682" t="s">
        <v>628</v>
      </c>
      <c r="E88" s="781">
        <v>0.2</v>
      </c>
      <c r="F88" s="768">
        <v>30</v>
      </c>
    </row>
    <row r="89" spans="1:6" s="764" customFormat="1" ht="24">
      <c r="A89" s="768">
        <v>29</v>
      </c>
      <c r="B89" s="3707"/>
      <c r="C89" s="682" t="s">
        <v>629</v>
      </c>
      <c r="D89" s="682" t="s">
        <v>630</v>
      </c>
      <c r="E89" s="781">
        <v>0.2</v>
      </c>
      <c r="F89" s="768">
        <v>30</v>
      </c>
    </row>
    <row r="90" spans="1:6" s="764" customFormat="1" ht="24">
      <c r="A90" s="768">
        <v>30</v>
      </c>
      <c r="B90" s="3707"/>
      <c r="C90" s="682" t="s">
        <v>631</v>
      </c>
      <c r="D90" s="682" t="s">
        <v>632</v>
      </c>
      <c r="E90" s="781">
        <v>0.2</v>
      </c>
      <c r="F90" s="768">
        <v>30</v>
      </c>
    </row>
    <row r="91" spans="1:6" s="764" customFormat="1" ht="36">
      <c r="A91" s="768">
        <v>31</v>
      </c>
      <c r="B91" s="3707"/>
      <c r="C91" s="682" t="s">
        <v>633</v>
      </c>
      <c r="D91" s="682" t="s">
        <v>634</v>
      </c>
      <c r="E91" s="781">
        <v>0.2</v>
      </c>
      <c r="F91" s="768">
        <v>30</v>
      </c>
    </row>
    <row r="92" spans="1:6" s="764" customFormat="1" ht="24">
      <c r="A92" s="768">
        <v>32</v>
      </c>
      <c r="B92" s="3707" t="s">
        <v>635</v>
      </c>
      <c r="C92" s="768" t="s">
        <v>636</v>
      </c>
      <c r="D92" s="682" t="s">
        <v>637</v>
      </c>
      <c r="E92" s="781">
        <v>0.2</v>
      </c>
      <c r="F92" s="768">
        <v>30</v>
      </c>
    </row>
    <row r="93" spans="1:6" s="764" customFormat="1" ht="36">
      <c r="A93" s="768">
        <v>33</v>
      </c>
      <c r="B93" s="3707"/>
      <c r="C93" s="768" t="s">
        <v>638</v>
      </c>
      <c r="D93" s="682" t="s">
        <v>639</v>
      </c>
      <c r="E93" s="781">
        <v>0.2</v>
      </c>
      <c r="F93" s="768">
        <v>30</v>
      </c>
    </row>
    <row r="94" spans="1:6" s="764" customFormat="1" ht="48">
      <c r="A94" s="768">
        <v>34</v>
      </c>
      <c r="B94" s="3707"/>
      <c r="C94" s="768" t="s">
        <v>640</v>
      </c>
      <c r="D94" s="682" t="s">
        <v>641</v>
      </c>
      <c r="E94" s="781">
        <v>0.2</v>
      </c>
      <c r="F94" s="768">
        <v>30</v>
      </c>
    </row>
    <row r="95" spans="1:6" s="764" customFormat="1" ht="36">
      <c r="A95" s="768">
        <v>35</v>
      </c>
      <c r="B95" s="3707"/>
      <c r="C95" s="768" t="s">
        <v>642</v>
      </c>
      <c r="D95" s="682" t="s">
        <v>643</v>
      </c>
      <c r="E95" s="781">
        <v>0.2</v>
      </c>
      <c r="F95" s="768">
        <v>30</v>
      </c>
    </row>
    <row r="96" spans="1:6" s="764" customFormat="1" ht="48">
      <c r="A96" s="768">
        <v>36</v>
      </c>
      <c r="B96" s="3707"/>
      <c r="C96" s="682" t="s">
        <v>644</v>
      </c>
      <c r="D96" s="682" t="s">
        <v>645</v>
      </c>
      <c r="E96" s="781">
        <v>0.2</v>
      </c>
      <c r="F96" s="768">
        <v>30</v>
      </c>
    </row>
    <row r="97" spans="1:6" s="764" customFormat="1" ht="36">
      <c r="A97" s="768">
        <v>37</v>
      </c>
      <c r="B97" s="3707"/>
      <c r="C97" s="768" t="s">
        <v>646</v>
      </c>
      <c r="D97" s="682" t="s">
        <v>647</v>
      </c>
      <c r="E97" s="781">
        <v>0.2</v>
      </c>
      <c r="F97" s="768">
        <v>30</v>
      </c>
    </row>
    <row r="98" spans="1:6" s="764" customFormat="1" ht="36">
      <c r="A98" s="768">
        <v>38</v>
      </c>
      <c r="B98" s="3707"/>
      <c r="C98" s="768" t="s">
        <v>648</v>
      </c>
      <c r="D98" s="682" t="s">
        <v>649</v>
      </c>
      <c r="E98" s="781">
        <v>0.2</v>
      </c>
      <c r="F98" s="768">
        <v>30</v>
      </c>
    </row>
    <row r="99" spans="1:6" s="764" customFormat="1" ht="36">
      <c r="A99" s="768">
        <v>39</v>
      </c>
      <c r="B99" s="3707" t="s">
        <v>650</v>
      </c>
      <c r="C99" s="768" t="s">
        <v>651</v>
      </c>
      <c r="D99" s="682" t="s">
        <v>652</v>
      </c>
      <c r="E99" s="781">
        <v>0.3</v>
      </c>
      <c r="F99" s="768">
        <v>50</v>
      </c>
    </row>
    <row r="100" spans="1:6" s="764" customFormat="1" ht="24">
      <c r="A100" s="768">
        <v>40</v>
      </c>
      <c r="B100" s="3707"/>
      <c r="C100" s="768" t="s">
        <v>653</v>
      </c>
      <c r="D100" s="682" t="s">
        <v>654</v>
      </c>
      <c r="E100" s="781">
        <v>0.2</v>
      </c>
      <c r="F100" s="768">
        <v>30</v>
      </c>
    </row>
    <row r="101" spans="1:6" s="764" customFormat="1" ht="36">
      <c r="A101" s="768">
        <v>41</v>
      </c>
      <c r="B101" s="370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7" t="s">
        <v>665</v>
      </c>
      <c r="C105" s="768" t="s">
        <v>666</v>
      </c>
      <c r="D105" s="682" t="s">
        <v>667</v>
      </c>
      <c r="E105" s="781">
        <v>0.2</v>
      </c>
      <c r="F105" s="768">
        <v>30</v>
      </c>
    </row>
    <row r="106" spans="1:6" s="764" customFormat="1" ht="36">
      <c r="A106" s="768">
        <v>46</v>
      </c>
      <c r="B106" s="3707"/>
      <c r="C106" s="768" t="s">
        <v>668</v>
      </c>
      <c r="D106" s="682" t="s">
        <v>669</v>
      </c>
      <c r="E106" s="781">
        <v>0.2</v>
      </c>
      <c r="F106" s="768">
        <v>30</v>
      </c>
    </row>
    <row r="107" spans="1:6" s="764" customFormat="1" ht="36">
      <c r="A107" s="768">
        <v>47</v>
      </c>
      <c r="B107" s="3707" t="s">
        <v>670</v>
      </c>
      <c r="C107" s="768" t="s">
        <v>671</v>
      </c>
      <c r="D107" s="682" t="s">
        <v>672</v>
      </c>
      <c r="E107" s="781">
        <v>0.3</v>
      </c>
      <c r="F107" s="768">
        <v>50</v>
      </c>
    </row>
    <row r="108" spans="1:6" s="764" customFormat="1" ht="36">
      <c r="A108" s="768">
        <v>48</v>
      </c>
      <c r="B108" s="370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7" t="s">
        <v>681</v>
      </c>
      <c r="C111" s="768" t="s">
        <v>682</v>
      </c>
      <c r="D111" s="682" t="s">
        <v>683</v>
      </c>
      <c r="E111" s="781">
        <v>0.2</v>
      </c>
      <c r="F111" s="768">
        <v>30</v>
      </c>
    </row>
    <row r="112" spans="1:6" s="764" customFormat="1" ht="24">
      <c r="A112" s="768">
        <v>52</v>
      </c>
      <c r="B112" s="3707"/>
      <c r="C112" s="768" t="s">
        <v>684</v>
      </c>
      <c r="D112" s="682" t="s">
        <v>685</v>
      </c>
      <c r="E112" s="781">
        <v>0.2</v>
      </c>
      <c r="F112" s="768">
        <v>30</v>
      </c>
    </row>
    <row r="113" spans="1:6" s="764" customFormat="1" ht="24">
      <c r="A113" s="768">
        <v>53</v>
      </c>
      <c r="B113" s="370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7" t="s">
        <v>694</v>
      </c>
      <c r="C116" s="768" t="s">
        <v>695</v>
      </c>
      <c r="D116" s="682" t="s">
        <v>696</v>
      </c>
      <c r="E116" s="781">
        <v>0.2</v>
      </c>
      <c r="F116" s="768">
        <v>30</v>
      </c>
    </row>
    <row r="117" spans="1:6" ht="36">
      <c r="A117" s="768">
        <v>57</v>
      </c>
      <c r="B117" s="370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13" t="s">
        <v>964</v>
      </c>
      <c r="C1" s="3713"/>
      <c r="D1" s="3713"/>
      <c r="E1" s="3713"/>
      <c r="F1" s="3713"/>
      <c r="G1" s="3712" t="s">
        <v>965</v>
      </c>
      <c r="H1" s="3712"/>
      <c r="I1" s="3712"/>
      <c r="J1" s="3712"/>
      <c r="K1" s="3712"/>
      <c r="L1" s="3712"/>
      <c r="N1" s="3712" t="s">
        <v>966</v>
      </c>
      <c r="O1" s="3712"/>
      <c r="P1" s="3712"/>
      <c r="Q1" s="3712"/>
      <c r="S1" s="3712" t="s">
        <v>967</v>
      </c>
      <c r="T1" s="3712"/>
      <c r="U1" s="3712"/>
      <c r="V1" s="3712"/>
      <c r="X1" s="3711" t="s">
        <v>968</v>
      </c>
      <c r="Y1" s="3712"/>
      <c r="Z1" s="3712"/>
      <c r="AA1" s="3712"/>
      <c r="AB1" s="3712"/>
      <c r="AD1" s="3711" t="s">
        <v>969</v>
      </c>
      <c r="AE1" s="3712"/>
      <c r="AF1" s="3712"/>
      <c r="AG1" s="3712"/>
      <c r="AH1" s="3712"/>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2648</v>
      </c>
      <c r="B3" s="2308"/>
      <c r="C3" s="2308"/>
      <c r="D3" s="2309"/>
      <c r="E3" s="2309"/>
      <c r="F3" s="2308"/>
      <c r="G3" s="2310"/>
      <c r="H3" s="2311"/>
      <c r="I3" s="2312">
        <f>ROUND(AVERAGE(I4:I36),2)</f>
        <v>1.66</v>
      </c>
      <c r="J3" s="2312">
        <f>ROUND(AVERAGE(J4:J36),2)</f>
        <v>1.05</v>
      </c>
      <c r="K3" s="2312">
        <f>ROUND(AVERAGE(K4:K36),2)</f>
        <v>1.83</v>
      </c>
      <c r="L3" s="2313">
        <f>ROUND(AVERAGE(L4:L36),2)</f>
        <v>1.22</v>
      </c>
      <c r="N3" s="2310"/>
      <c r="S3" s="2310"/>
      <c r="W3" s="2315"/>
      <c r="X3" s="2316">
        <f>ROUND(SUMPRODUCT(PRODUCT(1+N3:N$35)),4)</f>
        <v>1.6415999999999999</v>
      </c>
      <c r="Y3" s="2316">
        <f>ROUND(SUMPRODUCT(PRODUCT(1+O3:O$35)),4)</f>
        <v>1.3644000000000001</v>
      </c>
      <c r="Z3" s="2316">
        <f t="shared" ref="Z3:Z33" si="0">Y3</f>
        <v>1.3644000000000001</v>
      </c>
      <c r="AA3" s="2316">
        <f>ROUND(SUMPRODUCT(PRODUCT(1+P3:P$35)),4)</f>
        <v>1.7232000000000001</v>
      </c>
      <c r="AB3" s="2316">
        <f>ROUND(SUMPRODUCT(PRODUCT(1+Q3:Q$35)),4)</f>
        <v>1.4529000000000001</v>
      </c>
      <c r="AD3" s="2317">
        <f>ROUND(AVERAGE(I3:I$36)/100,4)</f>
        <v>1.66E-2</v>
      </c>
      <c r="AE3" s="2317">
        <f>ROUND(AVERAGE(J3:J$36)/100,4)</f>
        <v>1.0500000000000001E-2</v>
      </c>
      <c r="AF3" s="2317">
        <f t="shared" ref="AF3:AF24" si="1">AE3</f>
        <v>1.0500000000000001E-2</v>
      </c>
      <c r="AG3" s="2317">
        <f>ROUND(AVERAGE(K3:K$36)/100,4)</f>
        <v>1.83E-2</v>
      </c>
      <c r="AH3" s="2317">
        <f>ROUND(AVERAGE(L3:L$36)/100,4)</f>
        <v>1.2200000000000001E-2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2834</v>
      </c>
      <c r="B5" s="2327">
        <f t="shared" ref="B5" si="2">B6*(1+N5)</f>
        <v>504.87072809615569</v>
      </c>
      <c r="C5" s="2327">
        <f t="shared" ref="C5" si="3">C6*(1+O5)</f>
        <v>351.71182348101968</v>
      </c>
      <c r="D5" s="2328">
        <f t="shared" ref="D5" si="4">C5</f>
        <v>351.71182348101968</v>
      </c>
      <c r="E5" s="2327">
        <f t="shared" ref="E5" si="5">E6*(1+P5)</f>
        <v>728.75350858360832</v>
      </c>
      <c r="F5" s="2327">
        <f t="shared" ref="F5" si="6">F6*(1+Q5)</f>
        <v>334.04593931673656</v>
      </c>
      <c r="G5" s="3130">
        <v>2021</v>
      </c>
      <c r="H5" s="2330">
        <v>4</v>
      </c>
      <c r="I5" s="2331">
        <v>0</v>
      </c>
      <c r="J5" s="2331">
        <v>0</v>
      </c>
      <c r="K5" s="2331">
        <v>0</v>
      </c>
      <c r="L5" s="2332">
        <v>0</v>
      </c>
      <c r="N5" s="2334">
        <f t="shared" ref="N5" si="7">I5/100</f>
        <v>0</v>
      </c>
      <c r="O5" s="2334">
        <f t="shared" ref="O5" si="8">J5/100</f>
        <v>0</v>
      </c>
      <c r="P5" s="2334">
        <f t="shared" ref="P5" si="9">K5/100</f>
        <v>0</v>
      </c>
      <c r="Q5" s="2334">
        <f t="shared" ref="Q5" si="10">L5/100</f>
        <v>0</v>
      </c>
      <c r="S5" s="2343"/>
      <c r="T5" s="2344"/>
      <c r="U5" s="2344"/>
      <c r="V5" s="2344"/>
      <c r="W5" s="2335" t="s">
        <v>2647</v>
      </c>
      <c r="X5" s="2336">
        <f>ROUND(SUMPRODUCT(PRODUCT(1+N5:N$35)),4)</f>
        <v>1.6415999999999999</v>
      </c>
      <c r="Y5" s="2336">
        <f>ROUND(SUMPRODUCT(PRODUCT(1+O5:O$35)),4)</f>
        <v>1.3644000000000001</v>
      </c>
      <c r="Z5" s="2336">
        <f t="shared" ref="Z5" si="11">Y5</f>
        <v>1.3644000000000001</v>
      </c>
      <c r="AA5" s="2336">
        <f>ROUND(SUMPRODUCT(PRODUCT(1+P5:P$35)),4)</f>
        <v>1.7232000000000001</v>
      </c>
      <c r="AB5" s="2336">
        <f>ROUND(SUMPRODUCT(PRODUCT(1+Q5:Q$35)),4)</f>
        <v>1.4529000000000001</v>
      </c>
      <c r="AD5" s="2337">
        <f>ROUND(AVERAGE(I5:I$36)/100,4)</f>
        <v>1.66E-2</v>
      </c>
      <c r="AE5" s="2337">
        <f>ROUND(AVERAGE(J5:J$36)/100,4)</f>
        <v>1.0500000000000001E-2</v>
      </c>
      <c r="AF5" s="2337">
        <f t="shared" ref="AF5" si="12">AE5</f>
        <v>1.0500000000000001E-2</v>
      </c>
      <c r="AG5" s="2337">
        <f>ROUND(AVERAGE(K5:K$36)/100,4)</f>
        <v>1.83E-2</v>
      </c>
      <c r="AH5" s="2337">
        <f>ROUND(AVERAGE(L5:L$36)/100,4)</f>
        <v>1.2200000000000001E-2</v>
      </c>
    </row>
    <row r="6" spans="1:34" s="2345" customFormat="1" ht="14.45" customHeight="1">
      <c r="A6" s="2338" t="s">
        <v>2835</v>
      </c>
      <c r="B6" s="2339">
        <f t="shared" ref="B6" si="13">B7*(1+N6)</f>
        <v>504.87072809615569</v>
      </c>
      <c r="C6" s="2339">
        <f t="shared" ref="C6" si="14">C7*(1+O6)</f>
        <v>351.71182348101968</v>
      </c>
      <c r="D6" s="2339">
        <f t="shared" ref="D6" si="15">C6</f>
        <v>351.71182348101968</v>
      </c>
      <c r="E6" s="2339">
        <f t="shared" ref="E6" si="16">E7*(1+P6)</f>
        <v>728.75350858360832</v>
      </c>
      <c r="F6" s="2339">
        <f t="shared" ref="F6" si="17">F7*(1+Q6)</f>
        <v>334.04593931673656</v>
      </c>
      <c r="G6" s="3130">
        <v>2021</v>
      </c>
      <c r="H6" s="2340">
        <v>3</v>
      </c>
      <c r="I6" s="3128">
        <v>0.47</v>
      </c>
      <c r="J6" s="3128">
        <v>0.41</v>
      </c>
      <c r="K6" s="3128">
        <v>0.48</v>
      </c>
      <c r="L6" s="3129">
        <v>0.48</v>
      </c>
      <c r="M6" s="2342"/>
      <c r="N6" s="2343">
        <f t="shared" ref="N6" si="18">I6/100</f>
        <v>4.6999999999999993E-3</v>
      </c>
      <c r="O6" s="2344">
        <f t="shared" ref="O6" si="19">J6/100</f>
        <v>4.0999999999999995E-3</v>
      </c>
      <c r="P6" s="2344">
        <f t="shared" ref="P6" si="20">K6/100</f>
        <v>4.7999999999999996E-3</v>
      </c>
      <c r="Q6" s="2344">
        <f t="shared" ref="Q6" si="21">L6/100</f>
        <v>4.7999999999999996E-3</v>
      </c>
      <c r="R6" s="2342"/>
      <c r="S6" s="2343"/>
      <c r="T6" s="2344"/>
      <c r="U6" s="2344"/>
      <c r="V6" s="2344"/>
      <c r="W6" s="2342"/>
      <c r="X6" s="2342">
        <f>ROUND(SUMPRODUCT(PRODUCT(1+N6:N$35)),4)</f>
        <v>1.6415999999999999</v>
      </c>
      <c r="Y6" s="2342">
        <f>ROUND(SUMPRODUCT(PRODUCT(1+O6:O$35)),4)</f>
        <v>1.3644000000000001</v>
      </c>
      <c r="Z6" s="2342">
        <f t="shared" ref="Z6" si="22">Y6</f>
        <v>1.3644000000000001</v>
      </c>
      <c r="AA6" s="2342">
        <f>ROUND(SUMPRODUCT(PRODUCT(1+P6:P$35)),4)</f>
        <v>1.7232000000000001</v>
      </c>
      <c r="AB6" s="2342">
        <f>ROUND(SUMPRODUCT(PRODUCT(1+Q6:Q$35)),4)</f>
        <v>1.4529000000000001</v>
      </c>
      <c r="AC6" s="2342"/>
      <c r="AD6" s="2344">
        <f>ROUND(AVERAGE(I6:I$36)/100,4)</f>
        <v>1.72E-2</v>
      </c>
      <c r="AE6" s="2344">
        <f>ROUND(AVERAGE(J6:J$36)/100,4)</f>
        <v>1.09E-2</v>
      </c>
      <c r="AF6" s="2344">
        <f t="shared" ref="AF6" si="23">AE6</f>
        <v>1.09E-2</v>
      </c>
      <c r="AG6" s="2344">
        <f>ROUND(AVERAGE(K6:K$36)/100,4)</f>
        <v>1.89E-2</v>
      </c>
      <c r="AH6" s="2344">
        <f>ROUND(AVERAGE(L6:L$36)/100,4)</f>
        <v>1.26E-2</v>
      </c>
    </row>
    <row r="7" spans="1:34" s="2345" customFormat="1" ht="14.45" customHeight="1">
      <c r="A7" s="2338" t="s">
        <v>2833</v>
      </c>
      <c r="B7" s="2339">
        <f t="shared" ref="B7" si="24">B8*(1+N7)</f>
        <v>502.50893609650217</v>
      </c>
      <c r="C7" s="2339">
        <f t="shared" ref="C7" si="25">C8*(1+O7)</f>
        <v>350.27569313914915</v>
      </c>
      <c r="D7" s="2339">
        <f t="shared" ref="D7" si="26">C7</f>
        <v>350.27569313914915</v>
      </c>
      <c r="E7" s="2339">
        <f t="shared" ref="E7" si="27">E8*(1+P7)</f>
        <v>725.27220201394141</v>
      </c>
      <c r="F7" s="2339">
        <f t="shared" ref="F7" si="28">F8*(1+Q7)</f>
        <v>332.45017846012797</v>
      </c>
      <c r="G7" s="3127">
        <v>2021</v>
      </c>
      <c r="H7" s="2340">
        <v>2</v>
      </c>
      <c r="I7" s="3128">
        <v>0.92</v>
      </c>
      <c r="J7" s="3128">
        <v>0.72</v>
      </c>
      <c r="K7" s="3128">
        <v>0.95</v>
      </c>
      <c r="L7" s="3129">
        <v>1.01</v>
      </c>
      <c r="M7" s="2342"/>
      <c r="N7" s="2343">
        <f t="shared" ref="N7" si="29">I7/100</f>
        <v>9.1999999999999998E-3</v>
      </c>
      <c r="O7" s="2344">
        <f t="shared" ref="O7" si="30">J7/100</f>
        <v>7.1999999999999998E-3</v>
      </c>
      <c r="P7" s="2344">
        <f t="shared" ref="P7" si="31">K7/100</f>
        <v>9.4999999999999998E-3</v>
      </c>
      <c r="Q7" s="2344">
        <f t="shared" ref="Q7" si="32">L7/100</f>
        <v>1.01E-2</v>
      </c>
      <c r="R7" s="2342"/>
      <c r="S7" s="2343"/>
      <c r="T7" s="2344"/>
      <c r="U7" s="2344"/>
      <c r="V7" s="2344"/>
      <c r="W7" s="2342"/>
      <c r="X7" s="2342">
        <f>ROUND(SUMPRODUCT(PRODUCT(1+N7:N$35)),4)</f>
        <v>1.6338999999999999</v>
      </c>
      <c r="Y7" s="2342">
        <f>ROUND(SUMPRODUCT(PRODUCT(1+O7:O$35)),4)</f>
        <v>1.3588</v>
      </c>
      <c r="Z7" s="2342">
        <f t="shared" ref="Z7" si="33">Y7</f>
        <v>1.3588</v>
      </c>
      <c r="AA7" s="2342">
        <f>ROUND(SUMPRODUCT(PRODUCT(1+P7:P$35)),4)</f>
        <v>1.7150000000000001</v>
      </c>
      <c r="AB7" s="2342">
        <f>ROUND(SUMPRODUCT(PRODUCT(1+Q7:Q$35)),4)</f>
        <v>1.446</v>
      </c>
      <c r="AC7" s="2342"/>
      <c r="AD7" s="2344">
        <f>ROUND(AVERAGE(I7:I$36)/100,4)</f>
        <v>1.7600000000000001E-2</v>
      </c>
      <c r="AE7" s="2344">
        <f>ROUND(AVERAGE(J7:J$36)/100,4)</f>
        <v>1.11E-2</v>
      </c>
      <c r="AF7" s="2344">
        <f t="shared" ref="AF7" si="34">AE7</f>
        <v>1.11E-2</v>
      </c>
      <c r="AG7" s="2344">
        <f>ROUND(AVERAGE(K7:K$36)/100,4)</f>
        <v>1.9400000000000001E-2</v>
      </c>
      <c r="AH7" s="2344">
        <f>ROUND(AVERAGE(L7:L$36)/100,4)</f>
        <v>1.2800000000000001E-2</v>
      </c>
    </row>
    <row r="8" spans="1:34" s="2345" customFormat="1" ht="14.45" customHeight="1">
      <c r="A8" s="2338" t="s">
        <v>2832</v>
      </c>
      <c r="B8" s="2339">
        <f t="shared" ref="B8" si="35">B9*(1+N8)</f>
        <v>497.92799851020823</v>
      </c>
      <c r="C8" s="2339">
        <f t="shared" ref="C8" si="36">C9*(1+O8)</f>
        <v>347.77173663537445</v>
      </c>
      <c r="D8" s="2339">
        <f t="shared" ref="D8" si="37">C8</f>
        <v>347.77173663537445</v>
      </c>
      <c r="E8" s="2339">
        <f t="shared" ref="E8" si="38">E9*(1+P8)</f>
        <v>718.44695593258189</v>
      </c>
      <c r="F8" s="2339">
        <f t="shared" ref="F8" si="39">F9*(1+Q8)</f>
        <v>329.12600580153247</v>
      </c>
      <c r="G8" s="3126">
        <v>2021</v>
      </c>
      <c r="H8" s="2340">
        <v>1</v>
      </c>
      <c r="I8" s="3128">
        <v>0.97</v>
      </c>
      <c r="J8" s="3128">
        <v>0.16</v>
      </c>
      <c r="K8" s="3128">
        <v>1.1100000000000001</v>
      </c>
      <c r="L8" s="3129">
        <v>0.36</v>
      </c>
      <c r="M8" s="2342"/>
      <c r="N8" s="2343">
        <f t="shared" ref="N8" si="40">I8/100</f>
        <v>9.7000000000000003E-3</v>
      </c>
      <c r="O8" s="2344">
        <f t="shared" ref="O8" si="41">J8/100</f>
        <v>1.6000000000000001E-3</v>
      </c>
      <c r="P8" s="2344">
        <f t="shared" ref="P8" si="42">K8/100</f>
        <v>1.11E-2</v>
      </c>
      <c r="Q8" s="2344">
        <f t="shared" ref="Q8" si="43">L8/100</f>
        <v>3.5999999999999999E-3</v>
      </c>
      <c r="R8" s="2342"/>
      <c r="S8" s="2343">
        <f>B8/B9-1</f>
        <v>9.7000000000000419E-3</v>
      </c>
      <c r="T8" s="2344">
        <f>C8/C9-1</f>
        <v>1.6000000000000458E-3</v>
      </c>
      <c r="U8" s="2344">
        <f>E8/E9-1</f>
        <v>1.110000000000011E-2</v>
      </c>
      <c r="V8" s="2344">
        <f>F8/F9-1</f>
        <v>3.6000000000000476E-3</v>
      </c>
      <c r="W8" s="2342"/>
      <c r="X8" s="2342">
        <f>ROUND(SUMPRODUCT(PRODUCT(1+N8:N$35)),4)</f>
        <v>1.619</v>
      </c>
      <c r="Y8" s="2342">
        <f>ROUND(SUMPRODUCT(PRODUCT(1+O8:O$35)),4)</f>
        <v>1.3491</v>
      </c>
      <c r="Z8" s="2342">
        <f t="shared" ref="Z8" si="44">Y8</f>
        <v>1.3491</v>
      </c>
      <c r="AA8" s="2342">
        <f>ROUND(SUMPRODUCT(PRODUCT(1+P8:P$35)),4)</f>
        <v>1.6988000000000001</v>
      </c>
      <c r="AB8" s="2342">
        <f>ROUND(SUMPRODUCT(PRODUCT(1+Q8:Q$35)),4)</f>
        <v>1.4315</v>
      </c>
      <c r="AC8" s="2342"/>
      <c r="AD8" s="2344">
        <f>ROUND(AVERAGE(I8:I$36)/100,4)</f>
        <v>1.7899999999999999E-2</v>
      </c>
      <c r="AE8" s="2344">
        <f>ROUND(AVERAGE(J8:J$36)/100,4)</f>
        <v>1.12E-2</v>
      </c>
      <c r="AF8" s="2344">
        <f t="shared" ref="AF8" si="45">AE8</f>
        <v>1.12E-2</v>
      </c>
      <c r="AG8" s="2344">
        <f>ROUND(AVERAGE(K8:K$36)/100,4)</f>
        <v>1.9699999999999999E-2</v>
      </c>
      <c r="AH8" s="2344">
        <f>ROUND(AVERAGE(L8:L$36)/100,4)</f>
        <v>1.29E-2</v>
      </c>
    </row>
    <row r="9" spans="1:34" s="2345" customFormat="1" ht="14.45" customHeight="1">
      <c r="A9" s="2338" t="s">
        <v>2829</v>
      </c>
      <c r="B9" s="2339">
        <f t="shared" ref="B9" si="46">B10*(1+N9)</f>
        <v>493.14449689037161</v>
      </c>
      <c r="C9" s="2339">
        <f t="shared" ref="C9" si="47">C10*(1+O9)</f>
        <v>347.21619073020611</v>
      </c>
      <c r="D9" s="2339">
        <f t="shared" ref="D9" si="48">C9</f>
        <v>347.21619073020611</v>
      </c>
      <c r="E9" s="2339">
        <f t="shared" ref="E9" si="49">E10*(1+P9)</f>
        <v>710.55974278763904</v>
      </c>
      <c r="F9" s="2339">
        <f t="shared" ref="F9" si="50">F10*(1+Q9)</f>
        <v>327.94540235306141</v>
      </c>
      <c r="G9" s="3117">
        <v>2020</v>
      </c>
      <c r="H9" s="2340">
        <v>4</v>
      </c>
      <c r="I9" s="2340">
        <v>2.0699999999999998</v>
      </c>
      <c r="J9" s="2340">
        <v>0.37</v>
      </c>
      <c r="K9" s="2340">
        <v>2.35</v>
      </c>
      <c r="L9" s="2341">
        <v>2.69</v>
      </c>
      <c r="M9" s="2342"/>
      <c r="N9" s="2343">
        <f t="shared" ref="N9" si="51">I9/100</f>
        <v>2.07E-2</v>
      </c>
      <c r="O9" s="2344">
        <f t="shared" ref="O9" si="52">J9/100</f>
        <v>3.7000000000000002E-3</v>
      </c>
      <c r="P9" s="2344">
        <f t="shared" ref="P9" si="53">K9/100</f>
        <v>2.35E-2</v>
      </c>
      <c r="Q9" s="2344">
        <f t="shared" ref="Q9" si="54">L9/100</f>
        <v>2.69E-2</v>
      </c>
      <c r="R9" s="2342"/>
      <c r="S9" s="2343"/>
      <c r="T9" s="2344"/>
      <c r="U9" s="2344"/>
      <c r="V9" s="2344"/>
      <c r="W9" s="2342"/>
      <c r="X9" s="2342">
        <f>ROUND(SUMPRODUCT(PRODUCT(1+N9:N$35)),4)</f>
        <v>1.6034999999999999</v>
      </c>
      <c r="Y9" s="2342">
        <f>ROUND(SUMPRODUCT(PRODUCT(1+O9:O$35)),4)</f>
        <v>1.3469</v>
      </c>
      <c r="Z9" s="2342">
        <f t="shared" ref="Z9" si="55">Y9</f>
        <v>1.3469</v>
      </c>
      <c r="AA9" s="2342">
        <f>ROUND(SUMPRODUCT(PRODUCT(1+P9:P$35)),4)</f>
        <v>1.6801999999999999</v>
      </c>
      <c r="AB9" s="2342">
        <f>ROUND(SUMPRODUCT(PRODUCT(1+Q9:Q$35)),4)</f>
        <v>1.4263999999999999</v>
      </c>
      <c r="AC9" s="2342"/>
      <c r="AD9" s="2344">
        <f>ROUND(AVERAGE(I9:I$36)/100,4)</f>
        <v>1.8200000000000001E-2</v>
      </c>
      <c r="AE9" s="2344">
        <f>ROUND(AVERAGE(J9:J$36)/100,4)</f>
        <v>1.1599999999999999E-2</v>
      </c>
      <c r="AF9" s="2344">
        <f t="shared" ref="AF9" si="56">AE9</f>
        <v>1.1599999999999999E-2</v>
      </c>
      <c r="AG9" s="2344">
        <f>ROUND(AVERAGE(K9:K$36)/100,4)</f>
        <v>0.02</v>
      </c>
      <c r="AH9" s="2344">
        <f>ROUND(AVERAGE(L9:L$36)/100,4)</f>
        <v>1.3299999999999999E-2</v>
      </c>
    </row>
    <row r="10" spans="1:34" s="2345" customFormat="1" ht="14.45" customHeight="1">
      <c r="A10" s="2338" t="s">
        <v>2828</v>
      </c>
      <c r="B10" s="2339">
        <f t="shared" ref="B10" si="57">B11*(1+N10)</f>
        <v>483.1434279321756</v>
      </c>
      <c r="C10" s="2339">
        <f t="shared" ref="C10" si="58">C11*(1+O10)</f>
        <v>345.93622669144776</v>
      </c>
      <c r="D10" s="2339">
        <f t="shared" ref="D10" si="59">C10</f>
        <v>345.93622669144776</v>
      </c>
      <c r="E10" s="2339">
        <f t="shared" ref="E10" si="60">E11*(1+P10)</f>
        <v>694.24498562544113</v>
      </c>
      <c r="F10" s="2339">
        <f t="shared" ref="F10" si="61">F11*(1+Q10)</f>
        <v>319.35475932716082</v>
      </c>
      <c r="G10" s="3116">
        <v>2020</v>
      </c>
      <c r="H10" s="2340">
        <v>3</v>
      </c>
      <c r="I10" s="2340">
        <v>0.36</v>
      </c>
      <c r="J10" s="2340">
        <v>-0.39</v>
      </c>
      <c r="K10" s="2340">
        <v>0.49</v>
      </c>
      <c r="L10" s="2341">
        <v>7.0000000000000007E-2</v>
      </c>
      <c r="M10" s="2342"/>
      <c r="N10" s="2343">
        <f t="shared" ref="N10" si="62">I10/100</f>
        <v>3.5999999999999999E-3</v>
      </c>
      <c r="O10" s="2344">
        <f t="shared" ref="O10" si="63">J10/100</f>
        <v>-3.9000000000000003E-3</v>
      </c>
      <c r="P10" s="2344">
        <f t="shared" ref="P10" si="64">K10/100</f>
        <v>4.8999999999999998E-3</v>
      </c>
      <c r="Q10" s="2344">
        <f t="shared" ref="Q10" si="65">L10/100</f>
        <v>7.000000000000001E-4</v>
      </c>
      <c r="R10" s="2342"/>
      <c r="S10" s="2343"/>
      <c r="T10" s="2344"/>
      <c r="U10" s="2344"/>
      <c r="V10" s="2344"/>
      <c r="W10" s="2342"/>
      <c r="X10" s="2342">
        <f>ROUND(SUMPRODUCT(PRODUCT(1+N10:N$35)),4)</f>
        <v>1.571</v>
      </c>
      <c r="Y10" s="2342">
        <f>ROUND(SUMPRODUCT(PRODUCT(1+O10:O$35)),4)</f>
        <v>1.3420000000000001</v>
      </c>
      <c r="Z10" s="2342">
        <f t="shared" ref="Z10" si="66">Y10</f>
        <v>1.3420000000000001</v>
      </c>
      <c r="AA10" s="2342">
        <f>ROUND(SUMPRODUCT(PRODUCT(1+P10:P$35)),4)</f>
        <v>1.6415999999999999</v>
      </c>
      <c r="AB10" s="2342">
        <f>ROUND(SUMPRODUCT(PRODUCT(1+Q10:Q$35)),4)</f>
        <v>1.389</v>
      </c>
      <c r="AC10" s="2342"/>
      <c r="AD10" s="2344">
        <f>ROUND(AVERAGE(I10:I$36)/100,4)</f>
        <v>1.8100000000000002E-2</v>
      </c>
      <c r="AE10" s="2344">
        <f>ROUND(AVERAGE(J10:J$36)/100,4)</f>
        <v>1.1900000000000001E-2</v>
      </c>
      <c r="AF10" s="2344">
        <f t="shared" ref="AF10" si="67">AE10</f>
        <v>1.1900000000000001E-2</v>
      </c>
      <c r="AG10" s="2344">
        <f>ROUND(AVERAGE(K10:K$36)/100,4)</f>
        <v>1.9900000000000001E-2</v>
      </c>
      <c r="AH10" s="2344">
        <f>ROUND(AVERAGE(L10:L$36)/100,4)</f>
        <v>1.2800000000000001E-2</v>
      </c>
    </row>
    <row r="11" spans="1:34" s="2345" customFormat="1" ht="14.45" customHeight="1">
      <c r="A11" s="2338" t="s">
        <v>2680</v>
      </c>
      <c r="B11" s="2339">
        <f t="shared" ref="B11" si="68">B12*(1+N11)</f>
        <v>481.4103506697644</v>
      </c>
      <c r="C11" s="2339">
        <f t="shared" ref="C11" si="69">C12*(1+O11)</f>
        <v>347.29066026648707</v>
      </c>
      <c r="D11" s="2339">
        <f t="shared" ref="D11" si="70">C11</f>
        <v>347.29066026648707</v>
      </c>
      <c r="E11" s="2339">
        <f t="shared" ref="E11" si="71">E12*(1+P11)</f>
        <v>690.85977273901995</v>
      </c>
      <c r="F11" s="2339">
        <f t="shared" ref="F11" si="72">F12*(1+Q11)</f>
        <v>319.13136737000184</v>
      </c>
      <c r="G11" s="2329">
        <v>2020</v>
      </c>
      <c r="H11" s="2340">
        <v>2</v>
      </c>
      <c r="I11" s="2340">
        <v>0.31</v>
      </c>
      <c r="J11" s="2340">
        <v>-0.78</v>
      </c>
      <c r="K11" s="2340">
        <v>0.5</v>
      </c>
      <c r="L11" s="2341">
        <v>0.47</v>
      </c>
      <c r="M11" s="2342"/>
      <c r="N11" s="2343">
        <f t="shared" ref="N11" si="73">I11/100</f>
        <v>3.0999999999999999E-3</v>
      </c>
      <c r="O11" s="2344">
        <f t="shared" ref="O11" si="74">J11/100</f>
        <v>-7.8000000000000005E-3</v>
      </c>
      <c r="P11" s="2344">
        <f t="shared" ref="P11" si="75">K11/100</f>
        <v>5.0000000000000001E-3</v>
      </c>
      <c r="Q11" s="2344">
        <f t="shared" ref="Q11" si="76">L11/100</f>
        <v>4.6999999999999993E-3</v>
      </c>
      <c r="R11" s="2342"/>
      <c r="S11" s="2343"/>
      <c r="T11" s="2344"/>
      <c r="U11" s="2344"/>
      <c r="V11" s="2344"/>
      <c r="W11" s="2342"/>
      <c r="X11" s="2342">
        <f>ROUND(SUMPRODUCT(PRODUCT(1+N11:N$35)),4)</f>
        <v>1.5652999999999999</v>
      </c>
      <c r="Y11" s="2342">
        <f>ROUND(SUMPRODUCT(PRODUCT(1+O11:O$35)),4)</f>
        <v>1.3472</v>
      </c>
      <c r="Z11" s="2342">
        <f t="shared" ref="Z11" si="77">Y11</f>
        <v>1.3472</v>
      </c>
      <c r="AA11" s="2342">
        <f>ROUND(SUMPRODUCT(PRODUCT(1+P11:P$35)),4)</f>
        <v>1.6335999999999999</v>
      </c>
      <c r="AB11" s="2342">
        <f>ROUND(SUMPRODUCT(PRODUCT(1+Q11:Q$35)),4)</f>
        <v>1.3880999999999999</v>
      </c>
      <c r="AC11" s="2342"/>
      <c r="AD11" s="2344">
        <f>ROUND(AVERAGE(I11:I$36)/100,4)</f>
        <v>1.8599999999999998E-2</v>
      </c>
      <c r="AE11" s="2344">
        <f>ROUND(AVERAGE(J11:J$36)/100,4)</f>
        <v>1.2500000000000001E-2</v>
      </c>
      <c r="AF11" s="2344">
        <f t="shared" ref="AF11" si="78">AE11</f>
        <v>1.2500000000000001E-2</v>
      </c>
      <c r="AG11" s="2344">
        <f>ROUND(AVERAGE(K11:K$36)/100,4)</f>
        <v>2.0400000000000001E-2</v>
      </c>
      <c r="AH11" s="2344">
        <f>ROUND(AVERAGE(L11:L$36)/100,4)</f>
        <v>1.32E-2</v>
      </c>
    </row>
    <row r="12" spans="1:34" s="2345" customFormat="1" ht="14.45" customHeight="1">
      <c r="A12" s="2338" t="s">
        <v>2677</v>
      </c>
      <c r="B12" s="2339">
        <f t="shared" ref="B12" si="79">B13*(1+N12)</f>
        <v>479.92259063878413</v>
      </c>
      <c r="C12" s="2339">
        <f t="shared" ref="C12" si="80">C13*(1+O12)</f>
        <v>350.02082268341775</v>
      </c>
      <c r="D12" s="2339">
        <f t="shared" ref="D12" si="81">C12</f>
        <v>350.02082268341775</v>
      </c>
      <c r="E12" s="2339">
        <f t="shared" ref="E12" si="82">E13*(1+P12)</f>
        <v>687.42265944181099</v>
      </c>
      <c r="F12" s="2339">
        <f t="shared" ref="F12" si="83">F13*(1+Q12)</f>
        <v>317.63846657708956</v>
      </c>
      <c r="G12" s="2329">
        <v>2020</v>
      </c>
      <c r="H12" s="2340">
        <v>1</v>
      </c>
      <c r="I12" s="2340">
        <v>0.12</v>
      </c>
      <c r="J12" s="2340">
        <v>-0.4</v>
      </c>
      <c r="K12" s="2340">
        <v>0.21</v>
      </c>
      <c r="L12" s="2341">
        <v>0.27</v>
      </c>
      <c r="M12" s="2342"/>
      <c r="N12" s="2343">
        <f t="shared" ref="N12" si="84">I12/100</f>
        <v>1.1999999999999999E-3</v>
      </c>
      <c r="O12" s="2344">
        <f t="shared" ref="O12" si="85">J12/100</f>
        <v>-4.0000000000000001E-3</v>
      </c>
      <c r="P12" s="2344">
        <f t="shared" ref="P12" si="86">K12/100</f>
        <v>2.0999999999999999E-3</v>
      </c>
      <c r="Q12" s="2344">
        <f t="shared" ref="Q12" si="87">L12/100</f>
        <v>2.7000000000000001E-3</v>
      </c>
      <c r="R12" s="2342"/>
      <c r="S12" s="2343">
        <f>B12/B13-1</f>
        <v>1.2000000000000899E-3</v>
      </c>
      <c r="T12" s="2344">
        <f>C12/C13-1</f>
        <v>-4.0000000000000036E-3</v>
      </c>
      <c r="U12" s="2344">
        <f>E12/E13-1</f>
        <v>2.0999999999999908E-3</v>
      </c>
      <c r="V12" s="2344">
        <f>F12/F13-1</f>
        <v>2.6999999999999247E-3</v>
      </c>
      <c r="W12" s="2342"/>
      <c r="X12" s="2342">
        <f>ROUND(SUMPRODUCT(PRODUCT(1+N12:N$35)),4)</f>
        <v>1.5605</v>
      </c>
      <c r="Y12" s="2342">
        <f>ROUND(SUMPRODUCT(PRODUCT(1+O12:O$35)),4)</f>
        <v>1.3577999999999999</v>
      </c>
      <c r="Z12" s="2342">
        <f t="shared" ref="Z12" si="88">Y12</f>
        <v>1.3577999999999999</v>
      </c>
      <c r="AA12" s="2342">
        <f>ROUND(SUMPRODUCT(PRODUCT(1+P12:P$35)),4)</f>
        <v>1.6254999999999999</v>
      </c>
      <c r="AB12" s="2342">
        <f>ROUND(SUMPRODUCT(PRODUCT(1+Q12:Q$35)),4)</f>
        <v>1.3815999999999999</v>
      </c>
      <c r="AC12" s="2342"/>
      <c r="AD12" s="2344">
        <f>ROUND(AVERAGE(I12:I$36)/100,4)</f>
        <v>1.9199999999999998E-2</v>
      </c>
      <c r="AE12" s="2344">
        <f>ROUND(AVERAGE(J12:J$36)/100,4)</f>
        <v>1.3299999999999999E-2</v>
      </c>
      <c r="AF12" s="2344">
        <f t="shared" ref="AF12" si="89">AE12</f>
        <v>1.3299999999999999E-2</v>
      </c>
      <c r="AG12" s="2344">
        <f>ROUND(AVERAGE(K12:K$36)/100,4)</f>
        <v>2.1100000000000001E-2</v>
      </c>
      <c r="AH12" s="2344">
        <f>ROUND(AVERAGE(L12:L$36)/100,4)</f>
        <v>1.3599999999999999E-2</v>
      </c>
    </row>
    <row r="13" spans="1:34" s="2345" customFormat="1" ht="14.45" customHeight="1">
      <c r="A13" s="2338" t="s">
        <v>2675</v>
      </c>
      <c r="B13" s="2339">
        <f t="shared" ref="B13:B18" si="90">B14*(1+N13)</f>
        <v>479.34737379023579</v>
      </c>
      <c r="C13" s="2339">
        <f t="shared" ref="C13" si="91">C14*(1+O13)</f>
        <v>351.4265287986122</v>
      </c>
      <c r="D13" s="2339">
        <f t="shared" ref="D13" si="92">C13</f>
        <v>351.4265287986122</v>
      </c>
      <c r="E13" s="2339">
        <f t="shared" ref="E13" si="93">E14*(1+P13)</f>
        <v>685.98209703803116</v>
      </c>
      <c r="F13" s="2339">
        <f t="shared" ref="F13" si="94">F14*(1+Q13)</f>
        <v>316.78315206651001</v>
      </c>
      <c r="G13" s="2329">
        <v>2019</v>
      </c>
      <c r="H13" s="2340">
        <v>4</v>
      </c>
      <c r="I13" s="2340">
        <v>0.45</v>
      </c>
      <c r="J13" s="2340">
        <v>-0.12</v>
      </c>
      <c r="K13" s="2340">
        <v>0.54</v>
      </c>
      <c r="L13" s="2341">
        <v>0.48</v>
      </c>
      <c r="M13" s="2342"/>
      <c r="N13" s="2343">
        <f t="shared" ref="N13:N18" si="95">I13/100</f>
        <v>4.5000000000000005E-3</v>
      </c>
      <c r="O13" s="2344">
        <f t="shared" ref="O13" si="96">J13/100</f>
        <v>-1.1999999999999999E-3</v>
      </c>
      <c r="P13" s="2344">
        <f t="shared" ref="P13" si="97">K13/100</f>
        <v>5.4000000000000003E-3</v>
      </c>
      <c r="Q13" s="2344">
        <f t="shared" ref="Q13" si="98">L13/100</f>
        <v>4.7999999999999996E-3</v>
      </c>
      <c r="R13" s="2342"/>
      <c r="S13" s="2343"/>
      <c r="T13" s="2344"/>
      <c r="U13" s="2344"/>
      <c r="V13" s="2344"/>
      <c r="W13" s="2342"/>
      <c r="X13" s="2342">
        <f>ROUND(SUMPRODUCT(PRODUCT(1+N13:N$35)),4)</f>
        <v>1.5586</v>
      </c>
      <c r="Y13" s="2342">
        <f>ROUND(SUMPRODUCT(PRODUCT(1+O13:O$35)),4)</f>
        <v>1.3633</v>
      </c>
      <c r="Z13" s="2342">
        <f t="shared" ref="Z13" si="99">Y13</f>
        <v>1.3633</v>
      </c>
      <c r="AA13" s="2342">
        <f>ROUND(SUMPRODUCT(PRODUCT(1+P13:P$35)),4)</f>
        <v>1.6221000000000001</v>
      </c>
      <c r="AB13" s="2342">
        <f>ROUND(SUMPRODUCT(PRODUCT(1+Q13:Q$35)),4)</f>
        <v>1.3777999999999999</v>
      </c>
      <c r="AC13" s="2342"/>
      <c r="AD13" s="2344">
        <f>ROUND(AVERAGE(I13:I$36)/100,4)</f>
        <v>0.02</v>
      </c>
      <c r="AE13" s="2344">
        <f>ROUND(AVERAGE(J13:J$36)/100,4)</f>
        <v>1.4E-2</v>
      </c>
      <c r="AF13" s="2344">
        <f t="shared" ref="AF13" si="100">AE13</f>
        <v>1.4E-2</v>
      </c>
      <c r="AG13" s="2344">
        <f>ROUND(AVERAGE(K13:K$36)/100,4)</f>
        <v>2.1899999999999999E-2</v>
      </c>
      <c r="AH13" s="2344">
        <f>ROUND(AVERAGE(L13:L$36)/100,4)</f>
        <v>1.4E-2</v>
      </c>
    </row>
    <row r="14" spans="1:34" s="2345" customFormat="1" ht="14.45" customHeight="1" thickBot="1">
      <c r="A14" s="2338" t="s">
        <v>2672</v>
      </c>
      <c r="B14" s="2339">
        <f t="shared" si="90"/>
        <v>477.19997390765138</v>
      </c>
      <c r="C14" s="2339">
        <f t="shared" ref="C14" si="101">C15*(1+O14)</f>
        <v>351.84874729536665</v>
      </c>
      <c r="D14" s="2339">
        <f t="shared" ref="D14" si="102">C14</f>
        <v>351.84874729536665</v>
      </c>
      <c r="E14" s="2339">
        <f t="shared" ref="E14" si="103">E15*(1+P14)</f>
        <v>682.29768951465201</v>
      </c>
      <c r="F14" s="2339">
        <f t="shared" ref="F14" si="104">F15*(1+Q14)</f>
        <v>315.26985675409043</v>
      </c>
      <c r="G14" s="2329">
        <v>2019</v>
      </c>
      <c r="H14" s="2340">
        <v>3</v>
      </c>
      <c r="I14" s="2340">
        <v>0.61</v>
      </c>
      <c r="J14" s="2340">
        <v>0.67</v>
      </c>
      <c r="K14" s="2340">
        <v>0.6</v>
      </c>
      <c r="L14" s="2341">
        <v>1.03</v>
      </c>
      <c r="M14" s="2342"/>
      <c r="N14" s="2343">
        <f t="shared" si="95"/>
        <v>6.0999999999999995E-3</v>
      </c>
      <c r="O14" s="2344">
        <f t="shared" ref="O14" si="105">J14/100</f>
        <v>6.7000000000000002E-3</v>
      </c>
      <c r="P14" s="2344">
        <f t="shared" ref="P14" si="106">K14/100</f>
        <v>6.0000000000000001E-3</v>
      </c>
      <c r="Q14" s="2344">
        <f t="shared" ref="Q14" si="107">L14/100</f>
        <v>1.03E-2</v>
      </c>
      <c r="R14" s="2342"/>
      <c r="S14" s="2343"/>
      <c r="T14" s="2344"/>
      <c r="U14" s="2344"/>
      <c r="V14" s="2344"/>
      <c r="W14" s="2342"/>
      <c r="X14" s="2342">
        <f>ROUND(SUMPRODUCT(PRODUCT(1+N14:N$35)),4)</f>
        <v>1.5516000000000001</v>
      </c>
      <c r="Y14" s="2342">
        <f>ROUND(SUMPRODUCT(PRODUCT(1+O14:O$35)),4)</f>
        <v>1.3649</v>
      </c>
      <c r="Z14" s="2342">
        <f t="shared" ref="Z14" si="108">Y14</f>
        <v>1.3649</v>
      </c>
      <c r="AA14" s="2342">
        <f>ROUND(SUMPRODUCT(PRODUCT(1+P14:P$35)),4)</f>
        <v>1.6133999999999999</v>
      </c>
      <c r="AB14" s="2342">
        <f>ROUND(SUMPRODUCT(PRODUCT(1+Q14:Q$35)),4)</f>
        <v>1.3713</v>
      </c>
      <c r="AC14" s="2342"/>
      <c r="AD14" s="2344">
        <f>ROUND(AVERAGE(I14:I$36)/100,4)</f>
        <v>2.07E-2</v>
      </c>
      <c r="AE14" s="2344">
        <f>ROUND(AVERAGE(J14:J$36)/100,4)</f>
        <v>1.47E-2</v>
      </c>
      <c r="AF14" s="2344">
        <f t="shared" ref="AF14" si="109">AE14</f>
        <v>1.47E-2</v>
      </c>
      <c r="AG14" s="2344">
        <f>ROUND(AVERAGE(K14:K$36)/100,4)</f>
        <v>2.2599999999999999E-2</v>
      </c>
      <c r="AH14" s="2344">
        <f>ROUND(AVERAGE(L14:L$36)/100,4)</f>
        <v>1.44E-2</v>
      </c>
    </row>
    <row r="15" spans="1:34" s="2345" customFormat="1" ht="14.45" customHeight="1">
      <c r="A15" s="2338" t="s">
        <v>2666</v>
      </c>
      <c r="B15" s="2339">
        <f t="shared" si="90"/>
        <v>474.30670301923408</v>
      </c>
      <c r="C15" s="2339">
        <f t="shared" ref="C15" si="110">C16*(1+O15)</f>
        <v>349.50705005996491</v>
      </c>
      <c r="D15" s="2339">
        <f t="shared" ref="D15" si="111">C15</f>
        <v>349.50705005996491</v>
      </c>
      <c r="E15" s="2339">
        <f t="shared" ref="E15" si="112">E16*(1+P15)</f>
        <v>678.22831959706957</v>
      </c>
      <c r="F15" s="2339">
        <f t="shared" ref="F15" si="113">F16*(1+Q15)</f>
        <v>312.0556832169558</v>
      </c>
      <c r="G15" s="2329">
        <v>2019</v>
      </c>
      <c r="H15" s="2346">
        <v>2</v>
      </c>
      <c r="I15" s="2346">
        <v>1.53</v>
      </c>
      <c r="J15" s="2346">
        <v>1.01</v>
      </c>
      <c r="K15" s="2346">
        <v>1.62</v>
      </c>
      <c r="L15" s="2347">
        <v>1.25</v>
      </c>
      <c r="M15" s="2342"/>
      <c r="N15" s="2343">
        <f t="shared" si="95"/>
        <v>1.5300000000000001E-2</v>
      </c>
      <c r="O15" s="2344">
        <f t="shared" ref="O15" si="114">J15/100</f>
        <v>1.01E-2</v>
      </c>
      <c r="P15" s="2344">
        <f t="shared" ref="P15" si="115">K15/100</f>
        <v>1.6200000000000003E-2</v>
      </c>
      <c r="Q15" s="2344">
        <f t="shared" ref="Q15" si="116">L15/100</f>
        <v>1.2500000000000001E-2</v>
      </c>
      <c r="R15" s="2342"/>
      <c r="S15" s="2343"/>
      <c r="T15" s="2344"/>
      <c r="U15" s="2344"/>
      <c r="V15" s="2344"/>
      <c r="W15" s="2342"/>
      <c r="X15" s="2342">
        <f>ROUND(SUMPRODUCT(PRODUCT(1+N15:N$35)),4)</f>
        <v>1.5422</v>
      </c>
      <c r="Y15" s="2342">
        <f>ROUND(SUMPRODUCT(PRODUCT(1+O15:O$35)),4)</f>
        <v>1.3557999999999999</v>
      </c>
      <c r="Z15" s="2342">
        <f t="shared" ref="Z15" si="117">Y15</f>
        <v>1.3557999999999999</v>
      </c>
      <c r="AA15" s="2342">
        <f>ROUND(SUMPRODUCT(PRODUCT(1+P15:P$35)),4)</f>
        <v>1.6036999999999999</v>
      </c>
      <c r="AB15" s="2342">
        <f>ROUND(SUMPRODUCT(PRODUCT(1+Q15:Q$35)),4)</f>
        <v>1.3573</v>
      </c>
      <c r="AC15" s="2342"/>
      <c r="AD15" s="2344">
        <f>ROUND(AVERAGE(I15:I$36)/100,4)</f>
        <v>2.1299999999999999E-2</v>
      </c>
      <c r="AE15" s="2344">
        <f>ROUND(AVERAGE(J15:J$36)/100,4)</f>
        <v>1.4999999999999999E-2</v>
      </c>
      <c r="AF15" s="2344">
        <f t="shared" ref="AF15" si="118">AE15</f>
        <v>1.4999999999999999E-2</v>
      </c>
      <c r="AG15" s="2344">
        <f>ROUND(AVERAGE(K15:K$36)/100,4)</f>
        <v>2.3300000000000001E-2</v>
      </c>
      <c r="AH15" s="2344">
        <f>ROUND(AVERAGE(L15:L$36)/100,4)</f>
        <v>1.46E-2</v>
      </c>
    </row>
    <row r="16" spans="1:34" s="2345" customFormat="1" ht="14.45" customHeight="1" thickBot="1">
      <c r="A16" s="2338" t="s">
        <v>2667</v>
      </c>
      <c r="B16" s="2339">
        <f t="shared" si="90"/>
        <v>467.15916775261894</v>
      </c>
      <c r="C16" s="2339">
        <f t="shared" ref="C16" si="119">C17*(1+O16)</f>
        <v>346.01232557169084</v>
      </c>
      <c r="D16" s="2339">
        <f t="shared" ref="D16" si="120">C16</f>
        <v>346.01232557169084</v>
      </c>
      <c r="E16" s="2339">
        <f t="shared" ref="E16" si="121">E17*(1+P16)</f>
        <v>667.41617752122568</v>
      </c>
      <c r="F16" s="2339">
        <f t="shared" ref="F16" si="122">F17*(1+Q16)</f>
        <v>308.20314391798104</v>
      </c>
      <c r="G16" s="2329">
        <v>2019</v>
      </c>
      <c r="H16" s="2340">
        <v>1</v>
      </c>
      <c r="I16" s="2340">
        <v>0.6</v>
      </c>
      <c r="J16" s="2340">
        <v>0.37</v>
      </c>
      <c r="K16" s="2340">
        <v>0.63</v>
      </c>
      <c r="L16" s="2341">
        <v>1.1299999999999999</v>
      </c>
      <c r="M16" s="2342"/>
      <c r="N16" s="2343">
        <f t="shared" si="95"/>
        <v>6.0000000000000001E-3</v>
      </c>
      <c r="O16" s="2344">
        <f t="shared" ref="O16" si="123">J16/100</f>
        <v>3.7000000000000002E-3</v>
      </c>
      <c r="P16" s="2344">
        <f t="shared" ref="P16" si="124">K16/100</f>
        <v>6.3E-3</v>
      </c>
      <c r="Q16" s="2344">
        <f t="shared" ref="Q16" si="125">L16/100</f>
        <v>1.1299999999999999E-2</v>
      </c>
      <c r="R16" s="2342"/>
      <c r="S16" s="2343">
        <f>B16/B17-1</f>
        <v>6.0000000000000053E-3</v>
      </c>
      <c r="T16" s="2344">
        <f>C16/C17-1</f>
        <v>3.7000000000000366E-3</v>
      </c>
      <c r="U16" s="2344">
        <f>E16/E17-1</f>
        <v>6.2999999999999723E-3</v>
      </c>
      <c r="V16" s="2344">
        <f>F16/F17-1</f>
        <v>1.1300000000000088E-2</v>
      </c>
      <c r="W16" s="2342"/>
      <c r="X16" s="2342">
        <f>ROUND(SUMPRODUCT(PRODUCT(1+N16:N$35)),4)</f>
        <v>1.5189999999999999</v>
      </c>
      <c r="Y16" s="2342">
        <f>ROUND(SUMPRODUCT(PRODUCT(1+O16:O$35)),4)</f>
        <v>1.3423</v>
      </c>
      <c r="Z16" s="2342">
        <f t="shared" ref="Z16" si="126">Y16</f>
        <v>1.3423</v>
      </c>
      <c r="AA16" s="2342">
        <f>ROUND(SUMPRODUCT(PRODUCT(1+P16:P$35)),4)</f>
        <v>1.5782</v>
      </c>
      <c r="AB16" s="2342">
        <f>ROUND(SUMPRODUCT(PRODUCT(1+Q16:Q$35)),4)</f>
        <v>1.3405</v>
      </c>
      <c r="AC16" s="2342"/>
      <c r="AD16" s="2344">
        <f>ROUND(AVERAGE(I16:I$36)/100,4)</f>
        <v>2.1600000000000001E-2</v>
      </c>
      <c r="AE16" s="2344">
        <f>ROUND(AVERAGE(J16:J$36)/100,4)</f>
        <v>1.5299999999999999E-2</v>
      </c>
      <c r="AF16" s="2344">
        <f t="shared" ref="AF16" si="127">AE16</f>
        <v>1.5299999999999999E-2</v>
      </c>
      <c r="AG16" s="2344">
        <f>ROUND(AVERAGE(K16:K$36)/100,4)</f>
        <v>2.3699999999999999E-2</v>
      </c>
      <c r="AH16" s="2344">
        <f>ROUND(AVERAGE(L16:L$36)/100,4)</f>
        <v>1.47E-2</v>
      </c>
    </row>
    <row r="17" spans="1:34">
      <c r="A17" s="2338" t="s">
        <v>2661</v>
      </c>
      <c r="B17" s="2348">
        <f t="shared" si="90"/>
        <v>464.37293017158942</v>
      </c>
      <c r="C17" s="2348">
        <f t="shared" ref="C17" si="128">C18*(1+O17)</f>
        <v>344.73679941385956</v>
      </c>
      <c r="D17" s="2348">
        <f t="shared" ref="D17" si="129">C17</f>
        <v>344.73679941385956</v>
      </c>
      <c r="E17" s="2348">
        <f t="shared" ref="E17" si="130">E18*(1+P17)</f>
        <v>663.2377795103107</v>
      </c>
      <c r="F17" s="2349">
        <f t="shared" ref="F17" si="131">F18*(1+Q17)</f>
        <v>304.75936311478398</v>
      </c>
      <c r="G17" s="3709">
        <v>2018</v>
      </c>
      <c r="H17" s="2346">
        <v>4</v>
      </c>
      <c r="I17" s="2346">
        <v>0.96</v>
      </c>
      <c r="J17" s="2346">
        <v>1.03</v>
      </c>
      <c r="K17" s="2346">
        <v>0.92</v>
      </c>
      <c r="L17" s="2347">
        <v>1.29</v>
      </c>
      <c r="N17" s="2350">
        <f t="shared" si="95"/>
        <v>9.5999999999999992E-3</v>
      </c>
      <c r="O17" s="2351">
        <f t="shared" ref="O17" si="132">J17/100</f>
        <v>1.03E-2</v>
      </c>
      <c r="P17" s="2351">
        <f t="shared" ref="P17" si="133">K17/100</f>
        <v>9.1999999999999998E-3</v>
      </c>
      <c r="Q17" s="2351">
        <f t="shared" ref="Q17" si="134">L17/100</f>
        <v>1.29E-2</v>
      </c>
      <c r="R17" s="2352"/>
      <c r="S17" s="2353"/>
      <c r="T17" s="2354"/>
      <c r="U17" s="2354"/>
      <c r="V17" s="2354"/>
      <c r="X17" s="2324">
        <f>ROUND(SUMPRODUCT(PRODUCT(1+N17:N$35)),4)</f>
        <v>1.5099</v>
      </c>
      <c r="Y17" s="2324">
        <f>ROUND(SUMPRODUCT(PRODUCT(1+O17:O$35)),4)</f>
        <v>1.3372999999999999</v>
      </c>
      <c r="Z17" s="2324">
        <f t="shared" ref="Z17" si="135">Y17</f>
        <v>1.3372999999999999</v>
      </c>
      <c r="AA17" s="2324">
        <f>ROUND(SUMPRODUCT(PRODUCT(1+P17:P$35)),4)</f>
        <v>1.5683</v>
      </c>
      <c r="AB17" s="2324">
        <f>ROUND(SUMPRODUCT(PRODUCT(1+Q17:Q$35)),4)</f>
        <v>1.3255999999999999</v>
      </c>
      <c r="AD17" s="2325">
        <f>ROUND(AVERAGE(I17:I$36)/100,4)</f>
        <v>2.24E-2</v>
      </c>
      <c r="AE17" s="2325">
        <f>ROUND(AVERAGE(J17:J$36)/100,4)</f>
        <v>1.5800000000000002E-2</v>
      </c>
      <c r="AF17" s="2325">
        <f t="shared" ref="AF17" si="136">AE17</f>
        <v>1.5800000000000002E-2</v>
      </c>
      <c r="AG17" s="2325">
        <f>ROUND(AVERAGE(K17:K$36)/100,4)</f>
        <v>2.4500000000000001E-2</v>
      </c>
      <c r="AH17" s="2325">
        <f>ROUND(AVERAGE(L17:L$36)/100,4)</f>
        <v>1.49E-2</v>
      </c>
    </row>
    <row r="18" spans="1:34" s="2357" customFormat="1" ht="14.45" customHeight="1">
      <c r="A18" s="2338" t="s">
        <v>2656</v>
      </c>
      <c r="B18" s="2355">
        <f t="shared" si="90"/>
        <v>459.95733971036987</v>
      </c>
      <c r="C18" s="2355">
        <f t="shared" ref="C18" si="137">C19*(1+O18)</f>
        <v>341.22221064422405</v>
      </c>
      <c r="D18" s="2355">
        <f t="shared" ref="D18" si="138">C18</f>
        <v>341.22221064422405</v>
      </c>
      <c r="E18" s="2355">
        <f t="shared" ref="E18" si="139">E19*(1+P18)</f>
        <v>657.19161663724799</v>
      </c>
      <c r="F18" s="2355">
        <f t="shared" ref="F18" si="140">F19*(1+Q18)</f>
        <v>300.87803644464805</v>
      </c>
      <c r="G18" s="3709"/>
      <c r="H18" s="2340">
        <v>3</v>
      </c>
      <c r="I18" s="2340">
        <v>1.51</v>
      </c>
      <c r="J18" s="2340">
        <v>1.41</v>
      </c>
      <c r="K18" s="2340">
        <v>1.52</v>
      </c>
      <c r="L18" s="2341">
        <v>1.74</v>
      </c>
      <c r="M18" s="2324"/>
      <c r="N18" s="2356">
        <f t="shared" si="95"/>
        <v>1.5100000000000001E-2</v>
      </c>
      <c r="O18" s="2325">
        <f t="shared" ref="O18" si="141">J18/100</f>
        <v>1.41E-2</v>
      </c>
      <c r="P18" s="2325">
        <f t="shared" ref="P18" si="142">K18/100</f>
        <v>1.52E-2</v>
      </c>
      <c r="Q18" s="2325">
        <f t="shared" ref="Q18" si="143">L18/100</f>
        <v>1.7399999999999999E-2</v>
      </c>
      <c r="R18" s="2324"/>
      <c r="S18" s="2356"/>
      <c r="T18" s="2325"/>
      <c r="U18" s="2325"/>
      <c r="V18" s="2325"/>
      <c r="W18" s="2324"/>
      <c r="X18" s="2324">
        <f>ROUND(SUMPRODUCT(PRODUCT(1+N18:N$35)),4)</f>
        <v>1.4956</v>
      </c>
      <c r="Y18" s="2324">
        <f>ROUND(SUMPRODUCT(PRODUCT(1+O18:O$35)),4)</f>
        <v>1.3237000000000001</v>
      </c>
      <c r="Z18" s="2324">
        <f t="shared" ref="Z18" si="144">Y18</f>
        <v>1.3237000000000001</v>
      </c>
      <c r="AA18" s="2324">
        <f>ROUND(SUMPRODUCT(PRODUCT(1+P18:P$35)),4)</f>
        <v>1.554</v>
      </c>
      <c r="AB18" s="2324">
        <f>ROUND(SUMPRODUCT(PRODUCT(1+Q18:Q$35)),4)</f>
        <v>1.3087</v>
      </c>
      <c r="AC18" s="2324"/>
      <c r="AD18" s="2325">
        <f>ROUND(AVERAGE(I18:I$36)/100,4)</f>
        <v>2.3099999999999999E-2</v>
      </c>
      <c r="AE18" s="2325">
        <f>ROUND(AVERAGE(J18:J$36)/100,4)</f>
        <v>1.61E-2</v>
      </c>
      <c r="AF18" s="2325">
        <f t="shared" ref="AF18" si="145">AE18</f>
        <v>1.61E-2</v>
      </c>
      <c r="AG18" s="2325">
        <f>ROUND(AVERAGE(K18:K$36)/100,4)</f>
        <v>2.53E-2</v>
      </c>
      <c r="AH18" s="2325">
        <f>ROUND(AVERAGE(L18:L$36)/100,4)</f>
        <v>1.4999999999999999E-2</v>
      </c>
    </row>
    <row r="19" spans="1:34" s="2357" customFormat="1" ht="14.45" customHeight="1">
      <c r="A19" s="2338" t="s">
        <v>2655</v>
      </c>
      <c r="B19" s="2355">
        <f t="shared" ref="B19:B24" si="146">B20*(1+N19)</f>
        <v>453.11529869999993</v>
      </c>
      <c r="C19" s="2355">
        <f t="shared" ref="C19" si="147">C20*(1+O19)</f>
        <v>336.47787264000004</v>
      </c>
      <c r="D19" s="2355">
        <f t="shared" ref="D19" si="148">C19</f>
        <v>336.47787264000004</v>
      </c>
      <c r="E19" s="2355">
        <f t="shared" ref="E19" si="149">E20*(1+P19)</f>
        <v>647.35186823999993</v>
      </c>
      <c r="F19" s="2355">
        <f t="shared" ref="F19" si="150">F20*(1+Q19)</f>
        <v>295.73229452000004</v>
      </c>
      <c r="G19" s="3709"/>
      <c r="H19" s="2358">
        <v>2</v>
      </c>
      <c r="I19" s="2358">
        <v>1.49</v>
      </c>
      <c r="J19" s="2358">
        <v>0.96</v>
      </c>
      <c r="K19" s="2358">
        <v>1.58</v>
      </c>
      <c r="L19" s="2359">
        <v>2.44</v>
      </c>
      <c r="M19" s="2324"/>
      <c r="N19" s="2356">
        <f t="shared" ref="N19" si="151">I19/100</f>
        <v>1.49E-2</v>
      </c>
      <c r="O19" s="2325">
        <f t="shared" ref="O19" si="152">J19/100</f>
        <v>9.5999999999999992E-3</v>
      </c>
      <c r="P19" s="2325">
        <f t="shared" ref="P19" si="153">K19/100</f>
        <v>1.5800000000000002E-2</v>
      </c>
      <c r="Q19" s="2325">
        <f t="shared" ref="Q19" si="154">L19/100</f>
        <v>2.4399999999999998E-2</v>
      </c>
      <c r="R19" s="2324"/>
      <c r="S19" s="2356"/>
      <c r="T19" s="2325"/>
      <c r="U19" s="2325"/>
      <c r="V19" s="2325"/>
      <c r="W19" s="2324"/>
      <c r="X19" s="2324">
        <f>ROUND(SUMPRODUCT(PRODUCT(1+N19:N$35)),4)</f>
        <v>1.4733000000000001</v>
      </c>
      <c r="Y19" s="2324">
        <f>ROUND(SUMPRODUCT(PRODUCT(1+O19:O$35)),4)</f>
        <v>1.3052999999999999</v>
      </c>
      <c r="Z19" s="2324">
        <f t="shared" ref="Z19" si="155">Y19</f>
        <v>1.3052999999999999</v>
      </c>
      <c r="AA19" s="2324">
        <f>ROUND(SUMPRODUCT(PRODUCT(1+P19:P$35)),4)</f>
        <v>1.5306999999999999</v>
      </c>
      <c r="AB19" s="2324">
        <f>ROUND(SUMPRODUCT(PRODUCT(1+Q19:Q$35)),4)</f>
        <v>1.2863</v>
      </c>
      <c r="AC19" s="2324"/>
      <c r="AD19" s="2325">
        <f>ROUND(AVERAGE(I19:I$36)/100,4)</f>
        <v>2.35E-2</v>
      </c>
      <c r="AE19" s="2325">
        <f>ROUND(AVERAGE(J19:J$36)/100,4)</f>
        <v>1.6199999999999999E-2</v>
      </c>
      <c r="AF19" s="2325">
        <f t="shared" ref="AF19" si="156">AE19</f>
        <v>1.6199999999999999E-2</v>
      </c>
      <c r="AG19" s="2325">
        <f>ROUND(AVERAGE(K19:K$36)/100,4)</f>
        <v>2.5899999999999999E-2</v>
      </c>
      <c r="AH19" s="2325">
        <f>ROUND(AVERAGE(L19:L$36)/100,4)</f>
        <v>1.49E-2</v>
      </c>
    </row>
    <row r="20" spans="1:34" s="2357" customFormat="1" ht="15" customHeight="1" thickBot="1">
      <c r="A20" s="2338" t="s">
        <v>2652</v>
      </c>
      <c r="B20" s="2355">
        <f t="shared" si="146"/>
        <v>446.46299999999997</v>
      </c>
      <c r="C20" s="2355">
        <f t="shared" ref="C20" si="157">C21*(1+O20)</f>
        <v>333.27840000000003</v>
      </c>
      <c r="D20" s="2355">
        <f t="shared" ref="D20:D25" si="158">C20</f>
        <v>333.27840000000003</v>
      </c>
      <c r="E20" s="2355">
        <f t="shared" ref="E20" si="159">E21*(1+P20)</f>
        <v>637.28279999999995</v>
      </c>
      <c r="F20" s="2355">
        <f t="shared" ref="F20" si="160">F21*(1+Q20)</f>
        <v>288.68830000000003</v>
      </c>
      <c r="G20" s="3718"/>
      <c r="H20" s="2340">
        <v>1</v>
      </c>
      <c r="I20" s="2340">
        <v>1.7</v>
      </c>
      <c r="J20" s="2340">
        <v>1.92</v>
      </c>
      <c r="K20" s="2340">
        <v>1.64</v>
      </c>
      <c r="L20" s="2341">
        <v>2.0099999999999998</v>
      </c>
      <c r="M20" s="2324"/>
      <c r="N20" s="2356">
        <f t="shared" ref="N20:N25" si="161">I20/100</f>
        <v>1.7000000000000001E-2</v>
      </c>
      <c r="O20" s="2325">
        <f t="shared" ref="O20" si="162">J20/100</f>
        <v>1.9199999999999998E-2</v>
      </c>
      <c r="P20" s="2325">
        <f t="shared" ref="P20" si="163">K20/100</f>
        <v>1.6399999999999998E-2</v>
      </c>
      <c r="Q20" s="2325">
        <f t="shared" ref="Q20" si="164">L20/100</f>
        <v>2.0099999999999996E-2</v>
      </c>
      <c r="R20" s="2324"/>
      <c r="S20" s="2360">
        <f>B20/B21-1</f>
        <v>1.6999999999999904E-2</v>
      </c>
      <c r="T20" s="2361">
        <f>C20/C21-1</f>
        <v>1.9200000000000106E-2</v>
      </c>
      <c r="U20" s="2361">
        <f>E20/E21-1</f>
        <v>1.639999999999997E-2</v>
      </c>
      <c r="V20" s="2361">
        <f>F20/F21-1</f>
        <v>2.0100000000000007E-2</v>
      </c>
      <c r="W20" s="2324"/>
      <c r="X20" s="2324">
        <f>ROUND(SUMPRODUCT(PRODUCT(1+N20:N$35)),4)</f>
        <v>1.4517</v>
      </c>
      <c r="Y20" s="2324">
        <f>ROUND(SUMPRODUCT(PRODUCT(1+O20:O$35)),4)</f>
        <v>1.2928999999999999</v>
      </c>
      <c r="Z20" s="2324">
        <f t="shared" ref="Z20" si="165">Y20</f>
        <v>1.2928999999999999</v>
      </c>
      <c r="AA20" s="2324">
        <f>ROUND(SUMPRODUCT(PRODUCT(1+P20:P$35)),4)</f>
        <v>1.5068999999999999</v>
      </c>
      <c r="AB20" s="2324">
        <f>ROUND(SUMPRODUCT(PRODUCT(1+Q20:Q$35)),4)</f>
        <v>1.2557</v>
      </c>
      <c r="AC20" s="2324"/>
      <c r="AD20" s="2325">
        <f>ROUND(AVERAGE(I20:I$36)/100,4)</f>
        <v>2.4E-2</v>
      </c>
      <c r="AE20" s="2325">
        <f>ROUND(AVERAGE(J20:J$36)/100,4)</f>
        <v>1.66E-2</v>
      </c>
      <c r="AF20" s="2325">
        <f t="shared" ref="AF20" si="166">AE20</f>
        <v>1.66E-2</v>
      </c>
      <c r="AG20" s="2325">
        <f>ROUND(AVERAGE(K20:K$36)/100,4)</f>
        <v>2.6499999999999999E-2</v>
      </c>
      <c r="AH20" s="2325">
        <f>ROUND(AVERAGE(L20:L$36)/100,4)</f>
        <v>1.43E-2</v>
      </c>
    </row>
    <row r="21" spans="1:34">
      <c r="A21" s="2338" t="s">
        <v>2649</v>
      </c>
      <c r="B21" s="2348">
        <v>439</v>
      </c>
      <c r="C21" s="2348">
        <v>327</v>
      </c>
      <c r="D21" s="2348">
        <f t="shared" si="158"/>
        <v>327</v>
      </c>
      <c r="E21" s="2348">
        <v>627</v>
      </c>
      <c r="F21" s="2349">
        <v>283</v>
      </c>
      <c r="G21" s="3714">
        <v>2017</v>
      </c>
      <c r="H21" s="2346">
        <v>4</v>
      </c>
      <c r="I21" s="2346">
        <v>1.71</v>
      </c>
      <c r="J21" s="2346">
        <v>1.78</v>
      </c>
      <c r="K21" s="2346">
        <v>1.71</v>
      </c>
      <c r="L21" s="2347">
        <v>1.43</v>
      </c>
      <c r="N21" s="2350">
        <f t="shared" si="161"/>
        <v>1.7100000000000001E-2</v>
      </c>
      <c r="O21" s="2351">
        <f t="shared" ref="O21" si="167">J21/100</f>
        <v>1.78E-2</v>
      </c>
      <c r="P21" s="2351">
        <f t="shared" ref="P21" si="168">K21/100</f>
        <v>1.7100000000000001E-2</v>
      </c>
      <c r="Q21" s="2351">
        <f t="shared" ref="Q21" si="169">L21/100</f>
        <v>1.43E-2</v>
      </c>
      <c r="R21" s="2352"/>
      <c r="S21" s="2353"/>
      <c r="T21" s="2354"/>
      <c r="U21" s="2354"/>
      <c r="V21" s="2354"/>
      <c r="X21" s="2324">
        <f>ROUND(SUMPRODUCT(PRODUCT(1+N21:N$35)),4)</f>
        <v>1.4274</v>
      </c>
      <c r="Y21" s="2324">
        <f>ROUND(SUMPRODUCT(PRODUCT(1+O21:O$35)),4)</f>
        <v>1.2685</v>
      </c>
      <c r="Z21" s="2324">
        <f t="shared" si="0"/>
        <v>1.2685</v>
      </c>
      <c r="AA21" s="2324">
        <f>ROUND(SUMPRODUCT(PRODUCT(1+P21:P$35)),4)</f>
        <v>1.4825999999999999</v>
      </c>
      <c r="AB21" s="2324">
        <f>ROUND(SUMPRODUCT(PRODUCT(1+Q21:Q$35)),4)</f>
        <v>1.2309000000000001</v>
      </c>
      <c r="AD21" s="2325">
        <f>ROUND(AVERAGE(I21:I$36)/100,4)</f>
        <v>2.4500000000000001E-2</v>
      </c>
      <c r="AE21" s="2325">
        <f>ROUND(AVERAGE(J21:J$36)/100,4)</f>
        <v>1.6500000000000001E-2</v>
      </c>
      <c r="AF21" s="2325">
        <f t="shared" si="1"/>
        <v>1.6500000000000001E-2</v>
      </c>
      <c r="AG21" s="2325">
        <f>ROUND(AVERAGE(K21:K$36)/100,4)</f>
        <v>2.7099999999999999E-2</v>
      </c>
      <c r="AH21" s="2325">
        <f>ROUND(AVERAGE(L21:L$36)/100,4)</f>
        <v>1.3899999999999999E-2</v>
      </c>
    </row>
    <row r="22" spans="1:34" s="2357" customFormat="1" ht="14.45" customHeight="1">
      <c r="A22" s="2338" t="s">
        <v>2646</v>
      </c>
      <c r="B22" s="2355">
        <f t="shared" si="146"/>
        <v>431.80730811680002</v>
      </c>
      <c r="C22" s="2355">
        <f t="shared" ref="C22" si="170">C23*(1+O22)</f>
        <v>320.57880516480003</v>
      </c>
      <c r="D22" s="2355">
        <f t="shared" si="158"/>
        <v>320.57880516480003</v>
      </c>
      <c r="E22" s="2355">
        <f t="shared" ref="E22:F24" si="171">E23*(1+P22)</f>
        <v>615.96110553196797</v>
      </c>
      <c r="F22" s="2355">
        <f t="shared" si="171"/>
        <v>279.46777300108801</v>
      </c>
      <c r="G22" s="3709"/>
      <c r="H22" s="2340">
        <v>3</v>
      </c>
      <c r="I22" s="2340">
        <v>2.98</v>
      </c>
      <c r="J22" s="2340">
        <v>2.11</v>
      </c>
      <c r="K22" s="2340">
        <v>3.24</v>
      </c>
      <c r="L22" s="2341">
        <v>1.72</v>
      </c>
      <c r="M22" s="2324"/>
      <c r="N22" s="2356">
        <f t="shared" si="161"/>
        <v>2.98E-2</v>
      </c>
      <c r="O22" s="2362">
        <f t="shared" ref="O22" si="172">J22/100</f>
        <v>2.1099999999999997E-2</v>
      </c>
      <c r="P22" s="2362">
        <f t="shared" ref="P22" si="173">K22/100</f>
        <v>3.2400000000000005E-2</v>
      </c>
      <c r="Q22" s="2362">
        <f t="shared" ref="Q22" si="174">L22/100</f>
        <v>1.72E-2</v>
      </c>
      <c r="R22" s="2324"/>
      <c r="S22" s="2356"/>
      <c r="T22" s="2325"/>
      <c r="U22" s="2325"/>
      <c r="V22" s="2325"/>
      <c r="W22" s="2324"/>
      <c r="X22" s="2324">
        <f>ROUND(SUMPRODUCT(PRODUCT(1+N22:N$35)),4)</f>
        <v>1.4034</v>
      </c>
      <c r="Y22" s="2324">
        <f>ROUND(SUMPRODUCT(PRODUCT(1+O22:O$35)),4)</f>
        <v>1.2463</v>
      </c>
      <c r="Z22" s="2324">
        <f t="shared" si="0"/>
        <v>1.2463</v>
      </c>
      <c r="AA22" s="2324">
        <f>ROUND(SUMPRODUCT(PRODUCT(1+P22:P$35)),4)</f>
        <v>1.4577</v>
      </c>
      <c r="AB22" s="2324">
        <f>ROUND(SUMPRODUCT(PRODUCT(1+Q22:Q$35)),4)</f>
        <v>1.2136</v>
      </c>
      <c r="AC22" s="2324"/>
      <c r="AD22" s="2325">
        <f>ROUND(AVERAGE(I22:I$36)/100,4)</f>
        <v>2.4899999999999999E-2</v>
      </c>
      <c r="AE22" s="2325">
        <f>ROUND(AVERAGE(J22:J$36)/100,4)</f>
        <v>1.6400000000000001E-2</v>
      </c>
      <c r="AF22" s="2325">
        <f t="shared" si="1"/>
        <v>1.6400000000000001E-2</v>
      </c>
      <c r="AG22" s="2325">
        <f>ROUND(AVERAGE(K22:K$36)/100,4)</f>
        <v>2.7799999999999998E-2</v>
      </c>
      <c r="AH22" s="2325">
        <f>ROUND(AVERAGE(L22:L$36)/100,4)</f>
        <v>1.3899999999999999E-2</v>
      </c>
    </row>
    <row r="23" spans="1:34" s="2333" customFormat="1" ht="14.45" customHeight="1">
      <c r="A23" s="2338" t="s">
        <v>1189</v>
      </c>
      <c r="B23" s="2355">
        <f t="shared" si="146"/>
        <v>419.31181600000002</v>
      </c>
      <c r="C23" s="2355">
        <f t="shared" ref="C23" si="175">C24*(1+O23)</f>
        <v>313.95436800000004</v>
      </c>
      <c r="D23" s="2355">
        <f t="shared" si="158"/>
        <v>313.95436800000004</v>
      </c>
      <c r="E23" s="2355">
        <f t="shared" si="171"/>
        <v>596.63028431999999</v>
      </c>
      <c r="F23" s="2355">
        <f t="shared" si="171"/>
        <v>274.74220703999998</v>
      </c>
      <c r="G23" s="3709"/>
      <c r="H23" s="2358">
        <v>2</v>
      </c>
      <c r="I23" s="2358">
        <v>3.4</v>
      </c>
      <c r="J23" s="2358">
        <v>2</v>
      </c>
      <c r="K23" s="2358">
        <v>3.82</v>
      </c>
      <c r="L23" s="2359">
        <v>1.68</v>
      </c>
      <c r="M23" s="2324"/>
      <c r="N23" s="2356">
        <f t="shared" si="161"/>
        <v>3.4000000000000002E-2</v>
      </c>
      <c r="O23" s="2362">
        <f t="shared" ref="O23" si="176">J23/100</f>
        <v>0.02</v>
      </c>
      <c r="P23" s="2362">
        <f t="shared" ref="P23" si="177">K23/100</f>
        <v>3.8199999999999998E-2</v>
      </c>
      <c r="Q23" s="2362">
        <f t="shared" ref="Q23" si="178">L23/100</f>
        <v>1.6799999999999999E-2</v>
      </c>
      <c r="R23" s="2324"/>
      <c r="S23" s="2356"/>
      <c r="T23" s="2325"/>
      <c r="U23" s="2325"/>
      <c r="V23" s="2325"/>
      <c r="W23" s="2324"/>
      <c r="X23" s="2363">
        <f>ROUND(SUMPRODUCT(PRODUCT(1+N23:N$35)),4)</f>
        <v>1.3628</v>
      </c>
      <c r="Y23" s="2363">
        <f>ROUND(SUMPRODUCT(PRODUCT(1+O23:O$35)),4)</f>
        <v>1.2205999999999999</v>
      </c>
      <c r="Z23" s="2363">
        <f t="shared" si="0"/>
        <v>1.2205999999999999</v>
      </c>
      <c r="AA23" s="2363">
        <f>ROUND(SUMPRODUCT(PRODUCT(1+P23:P$35)),4)</f>
        <v>1.4118999999999999</v>
      </c>
      <c r="AB23" s="2363">
        <f>ROUND(SUMPRODUCT(PRODUCT(1+Q23:Q$35)),4)</f>
        <v>1.1930000000000001</v>
      </c>
      <c r="AC23" s="2318"/>
      <c r="AD23" s="2364">
        <f>ROUND(AVERAGE(I23:I$36)/100,4)</f>
        <v>2.46E-2</v>
      </c>
      <c r="AE23" s="2364">
        <f>ROUND(AVERAGE(J23:J$36)/100,4)</f>
        <v>1.6E-2</v>
      </c>
      <c r="AF23" s="2364">
        <f t="shared" si="1"/>
        <v>1.6E-2</v>
      </c>
      <c r="AG23" s="2364">
        <f>ROUND(AVERAGE(K23:K$36)/100,4)</f>
        <v>2.75E-2</v>
      </c>
      <c r="AH23" s="2364">
        <f>ROUND(AVERAGE(L23:L$36)/100,4)</f>
        <v>1.37E-2</v>
      </c>
    </row>
    <row r="24" spans="1:34" s="2357" customFormat="1" ht="15" customHeight="1" thickBot="1">
      <c r="A24" s="2338" t="s">
        <v>980</v>
      </c>
      <c r="B24" s="2355">
        <f t="shared" si="146"/>
        <v>405.524</v>
      </c>
      <c r="C24" s="2355">
        <f t="shared" ref="C24" si="179">C25*(1+O24)</f>
        <v>307.79840000000002</v>
      </c>
      <c r="D24" s="2355">
        <f t="shared" si="158"/>
        <v>307.79840000000002</v>
      </c>
      <c r="E24" s="2355">
        <f t="shared" si="171"/>
        <v>574.67759999999998</v>
      </c>
      <c r="F24" s="2355">
        <f t="shared" si="171"/>
        <v>270.20280000000002</v>
      </c>
      <c r="G24" s="3718"/>
      <c r="H24" s="2340">
        <v>1</v>
      </c>
      <c r="I24" s="2340">
        <v>3.45</v>
      </c>
      <c r="J24" s="2340">
        <v>1.92</v>
      </c>
      <c r="K24" s="2340">
        <v>3.92</v>
      </c>
      <c r="L24" s="2341">
        <v>1.58</v>
      </c>
      <c r="M24" s="2324"/>
      <c r="N24" s="2360">
        <f t="shared" si="161"/>
        <v>3.4500000000000003E-2</v>
      </c>
      <c r="O24" s="2361">
        <f t="shared" ref="O24:Q39" si="180">J24/100</f>
        <v>1.9199999999999998E-2</v>
      </c>
      <c r="P24" s="2361">
        <f t="shared" si="180"/>
        <v>3.9199999999999999E-2</v>
      </c>
      <c r="Q24" s="2361">
        <f t="shared" si="180"/>
        <v>1.5800000000000002E-2</v>
      </c>
      <c r="R24" s="2324"/>
      <c r="S24" s="2360">
        <f>B24/B25-1</f>
        <v>3.4499999999999975E-2</v>
      </c>
      <c r="T24" s="2361">
        <f>C24/C25-1</f>
        <v>1.9200000000000106E-2</v>
      </c>
      <c r="U24" s="2361">
        <f>E24/E25-1</f>
        <v>3.9199999999999902E-2</v>
      </c>
      <c r="V24" s="2361">
        <f>F24/F25-1</f>
        <v>1.5800000000000036E-2</v>
      </c>
      <c r="W24" s="2324"/>
      <c r="X24" s="2324">
        <f>ROUND(SUMPRODUCT(PRODUCT(1+N24:N$35)),4)</f>
        <v>1.3180000000000001</v>
      </c>
      <c r="Y24" s="2324">
        <f>ROUND(SUMPRODUCT(PRODUCT(1+O24:O$35)),4)</f>
        <v>1.1966000000000001</v>
      </c>
      <c r="Z24" s="2324">
        <f t="shared" si="0"/>
        <v>1.1966000000000001</v>
      </c>
      <c r="AA24" s="2324">
        <f>ROUND(SUMPRODUCT(PRODUCT(1+P24:P$35)),4)</f>
        <v>1.36</v>
      </c>
      <c r="AB24" s="2324">
        <f>ROUND(SUMPRODUCT(PRODUCT(1+Q24:Q$35)),4)</f>
        <v>1.1733</v>
      </c>
      <c r="AC24" s="2324"/>
      <c r="AD24" s="2325">
        <f>ROUND(AVERAGE(I24:I$36)/100,4)</f>
        <v>2.3900000000000001E-2</v>
      </c>
      <c r="AE24" s="2325">
        <f>ROUND(AVERAGE(J24:J$36)/100,4)</f>
        <v>1.5699999999999999E-2</v>
      </c>
      <c r="AF24" s="2325">
        <f t="shared" si="1"/>
        <v>1.5699999999999999E-2</v>
      </c>
      <c r="AG24" s="2325">
        <f>ROUND(AVERAGE(K24:K$36)/100,4)</f>
        <v>2.6599999999999999E-2</v>
      </c>
      <c r="AH24" s="2325">
        <f>ROUND(AVERAGE(L24:L$36)/100,4)</f>
        <v>1.34E-2</v>
      </c>
    </row>
    <row r="25" spans="1:34">
      <c r="A25" s="2338" t="s">
        <v>981</v>
      </c>
      <c r="B25" s="2348">
        <v>392</v>
      </c>
      <c r="C25" s="2348">
        <v>302</v>
      </c>
      <c r="D25" s="2348">
        <f t="shared" si="158"/>
        <v>302</v>
      </c>
      <c r="E25" s="2348">
        <v>553</v>
      </c>
      <c r="F25" s="2349">
        <v>266</v>
      </c>
      <c r="G25" s="3714">
        <v>2016</v>
      </c>
      <c r="H25" s="2346">
        <v>4</v>
      </c>
      <c r="I25" s="2346">
        <v>4.5599999999999996</v>
      </c>
      <c r="J25" s="2346">
        <v>2.15</v>
      </c>
      <c r="K25" s="2346">
        <v>5.32</v>
      </c>
      <c r="L25" s="2347">
        <v>1.57</v>
      </c>
      <c r="N25" s="2356">
        <f t="shared" si="161"/>
        <v>4.5599999999999995E-2</v>
      </c>
      <c r="O25" s="2325">
        <f t="shared" si="180"/>
        <v>2.1499999999999998E-2</v>
      </c>
      <c r="P25" s="2325">
        <f t="shared" si="180"/>
        <v>5.3200000000000004E-2</v>
      </c>
      <c r="Q25" s="2325">
        <f t="shared" si="180"/>
        <v>1.5700000000000002E-2</v>
      </c>
      <c r="R25" s="2352"/>
      <c r="S25" s="2353"/>
      <c r="T25" s="2354"/>
      <c r="U25" s="2354"/>
      <c r="V25" s="2354"/>
      <c r="X25" s="2324">
        <f>ROUND(SUMPRODUCT(PRODUCT(1+N25:N$35)),4)</f>
        <v>1.274</v>
      </c>
      <c r="Y25" s="2324">
        <f>ROUND(SUMPRODUCT(PRODUCT(1+O25:O$35)),4)</f>
        <v>1.1740999999999999</v>
      </c>
      <c r="Z25" s="2324">
        <f t="shared" si="0"/>
        <v>1.1740999999999999</v>
      </c>
      <c r="AA25" s="2324">
        <f>ROUND(SUMPRODUCT(PRODUCT(1+P25:P$35)),4)</f>
        <v>1.3087</v>
      </c>
      <c r="AB25" s="2324">
        <f>ROUND(SUMPRODUCT(PRODUCT(1+Q25:Q$35)),4)</f>
        <v>1.1551</v>
      </c>
      <c r="AD25" s="2325">
        <f>ROUND(AVERAGE(I25:I$36)/100,4)</f>
        <v>2.3E-2</v>
      </c>
      <c r="AE25" s="2325">
        <f>ROUND(AVERAGE(J25:J$36)/100,4)</f>
        <v>1.55E-2</v>
      </c>
      <c r="AF25" s="2325">
        <f t="shared" ref="AF25:AF34" si="181">AE25</f>
        <v>1.55E-2</v>
      </c>
      <c r="AG25" s="2325">
        <f>ROUND(AVERAGE(K25:K$36)/100,4)</f>
        <v>2.5600000000000001E-2</v>
      </c>
      <c r="AH25" s="2325">
        <f>ROUND(AVERAGE(L25:L$36)/100,4)</f>
        <v>1.32E-2</v>
      </c>
    </row>
    <row r="26" spans="1:34">
      <c r="A26" s="2338" t="s">
        <v>103</v>
      </c>
      <c r="B26" s="2355">
        <f t="shared" ref="B26:C28" si="182">B25/(1+N25)</f>
        <v>374.90436113236416</v>
      </c>
      <c r="C26" s="2355">
        <f t="shared" si="182"/>
        <v>295.64366128242779</v>
      </c>
      <c r="D26" s="2355">
        <f t="shared" ref="D26:D85" si="183">C26</f>
        <v>295.64366128242779</v>
      </c>
      <c r="E26" s="2355">
        <f t="shared" ref="E26:F28" si="184">E25/(1+P25)</f>
        <v>525.06646410938095</v>
      </c>
      <c r="F26" s="2355">
        <f t="shared" si="184"/>
        <v>261.88835286009646</v>
      </c>
      <c r="G26" s="3709"/>
      <c r="H26" s="2340">
        <v>3</v>
      </c>
      <c r="I26" s="2340">
        <v>4.12</v>
      </c>
      <c r="J26" s="2340">
        <v>2</v>
      </c>
      <c r="K26" s="2340">
        <v>4.79</v>
      </c>
      <c r="L26" s="2341">
        <v>1.97</v>
      </c>
      <c r="N26" s="2356">
        <f t="shared" ref="N26:Q60" si="185">I26/100</f>
        <v>4.1200000000000001E-2</v>
      </c>
      <c r="O26" s="2325">
        <f t="shared" si="180"/>
        <v>0.02</v>
      </c>
      <c r="P26" s="2325">
        <f t="shared" si="180"/>
        <v>4.7899999999999998E-2</v>
      </c>
      <c r="Q26" s="2325">
        <f t="shared" si="180"/>
        <v>1.9699999999999999E-2</v>
      </c>
      <c r="R26" s="2352"/>
      <c r="S26" s="2356"/>
      <c r="T26" s="2325"/>
      <c r="U26" s="2325"/>
      <c r="V26" s="2325"/>
      <c r="X26" s="2324">
        <f>ROUND(SUMPRODUCT(PRODUCT(1+N26:N$35)),4)</f>
        <v>1.2184999999999999</v>
      </c>
      <c r="Y26" s="2324">
        <f>ROUND(SUMPRODUCT(PRODUCT(1+O26:O$35)),4)</f>
        <v>1.1494</v>
      </c>
      <c r="Z26" s="2324">
        <f t="shared" si="0"/>
        <v>1.1494</v>
      </c>
      <c r="AA26" s="2324">
        <f>ROUND(SUMPRODUCT(PRODUCT(1+P26:P$35)),4)</f>
        <v>1.2425999999999999</v>
      </c>
      <c r="AB26" s="2324">
        <f>ROUND(SUMPRODUCT(PRODUCT(1+Q26:Q$35)),4)</f>
        <v>1.1372</v>
      </c>
      <c r="AD26" s="2325">
        <f>ROUND(AVERAGE(I26:I$36)/100,4)</f>
        <v>2.0899999999999998E-2</v>
      </c>
      <c r="AE26" s="2325">
        <f>ROUND(AVERAGE(J26:J$36)/100,4)</f>
        <v>1.49E-2</v>
      </c>
      <c r="AF26" s="2325">
        <f t="shared" si="181"/>
        <v>1.49E-2</v>
      </c>
      <c r="AG26" s="2325">
        <f>ROUND(AVERAGE(K26:K$36)/100,4)</f>
        <v>2.3099999999999999E-2</v>
      </c>
      <c r="AH26" s="2325">
        <f>ROUND(AVERAGE(L26:L$36)/100,4)</f>
        <v>1.2999999999999999E-2</v>
      </c>
    </row>
    <row r="27" spans="1:34">
      <c r="A27" s="2338" t="s">
        <v>93</v>
      </c>
      <c r="B27" s="2355">
        <f t="shared" si="182"/>
        <v>360.06949782209392</v>
      </c>
      <c r="C27" s="2355">
        <f t="shared" si="182"/>
        <v>289.84672674747821</v>
      </c>
      <c r="D27" s="2355">
        <f t="shared" si="183"/>
        <v>289.84672674747821</v>
      </c>
      <c r="E27" s="2355">
        <f t="shared" si="184"/>
        <v>501.06543001181495</v>
      </c>
      <c r="F27" s="2355">
        <f t="shared" si="184"/>
        <v>256.82882500744967</v>
      </c>
      <c r="G27" s="3709"/>
      <c r="H27" s="2358">
        <v>2</v>
      </c>
      <c r="I27" s="2358">
        <v>3.85</v>
      </c>
      <c r="J27" s="2358">
        <v>1.95</v>
      </c>
      <c r="K27" s="2358">
        <v>4.4800000000000004</v>
      </c>
      <c r="L27" s="2359">
        <v>1.41</v>
      </c>
      <c r="N27" s="2356">
        <f t="shared" si="185"/>
        <v>3.85E-2</v>
      </c>
      <c r="O27" s="2325">
        <f t="shared" si="180"/>
        <v>1.95E-2</v>
      </c>
      <c r="P27" s="2325">
        <f t="shared" si="180"/>
        <v>4.4800000000000006E-2</v>
      </c>
      <c r="Q27" s="2325">
        <f t="shared" si="180"/>
        <v>1.41E-2</v>
      </c>
      <c r="R27" s="2352"/>
      <c r="S27" s="2356"/>
      <c r="T27" s="2325"/>
      <c r="U27" s="2325"/>
      <c r="V27" s="2325"/>
      <c r="X27" s="2324">
        <f>ROUND(SUMPRODUCT(PRODUCT(1+N27:N$35)),4)</f>
        <v>1.1702999999999999</v>
      </c>
      <c r="Y27" s="2324">
        <f>ROUND(SUMPRODUCT(PRODUCT(1+O27:O$35)),4)</f>
        <v>1.1269</v>
      </c>
      <c r="Z27" s="2324">
        <f t="shared" si="0"/>
        <v>1.1269</v>
      </c>
      <c r="AA27" s="2324">
        <f>ROUND(SUMPRODUCT(PRODUCT(1+P27:P$35)),4)</f>
        <v>1.1858</v>
      </c>
      <c r="AB27" s="2324">
        <f>ROUND(SUMPRODUCT(PRODUCT(1+Q27:Q$35)),4)</f>
        <v>1.1152</v>
      </c>
      <c r="AD27" s="2325">
        <f>ROUND(AVERAGE(I27:I$36)/100,4)</f>
        <v>1.89E-2</v>
      </c>
      <c r="AE27" s="2325">
        <f>ROUND(AVERAGE(J27:J$36)/100,4)</f>
        <v>1.44E-2</v>
      </c>
      <c r="AF27" s="2325">
        <f t="shared" si="181"/>
        <v>1.44E-2</v>
      </c>
      <c r="AG27" s="2325">
        <f>ROUND(AVERAGE(K27:K$36)/100,4)</f>
        <v>2.06E-2</v>
      </c>
      <c r="AH27" s="2325">
        <f>ROUND(AVERAGE(L27:L$36)/100,4)</f>
        <v>1.23E-2</v>
      </c>
    </row>
    <row r="28" spans="1:34" ht="13.5" thickBot="1">
      <c r="A28" s="2338" t="s">
        <v>102</v>
      </c>
      <c r="B28" s="2355">
        <f t="shared" si="182"/>
        <v>346.720748986128</v>
      </c>
      <c r="C28" s="2355">
        <f t="shared" si="182"/>
        <v>284.30282172386285</v>
      </c>
      <c r="D28" s="2355">
        <f t="shared" si="183"/>
        <v>284.30282172386285</v>
      </c>
      <c r="E28" s="2355">
        <f t="shared" si="184"/>
        <v>479.58023546306947</v>
      </c>
      <c r="F28" s="2355">
        <f t="shared" si="184"/>
        <v>253.25788877571213</v>
      </c>
      <c r="G28" s="3710"/>
      <c r="H28" s="2340">
        <v>1</v>
      </c>
      <c r="I28" s="2340">
        <v>4.09</v>
      </c>
      <c r="J28" s="2340">
        <v>2.93</v>
      </c>
      <c r="K28" s="2340">
        <v>4.54</v>
      </c>
      <c r="L28" s="2341">
        <v>1.48</v>
      </c>
      <c r="N28" s="2356">
        <f t="shared" si="185"/>
        <v>4.0899999999999999E-2</v>
      </c>
      <c r="O28" s="2325">
        <f t="shared" si="180"/>
        <v>2.9300000000000003E-2</v>
      </c>
      <c r="P28" s="2325">
        <f t="shared" si="180"/>
        <v>4.5400000000000003E-2</v>
      </c>
      <c r="Q28" s="2325">
        <f t="shared" si="180"/>
        <v>1.4800000000000001E-2</v>
      </c>
      <c r="R28" s="2352"/>
      <c r="S28" s="2360">
        <f>B28/B29-1</f>
        <v>4.1203450408792808E-2</v>
      </c>
      <c r="T28" s="2361">
        <f>C28/C29-1</f>
        <v>2.6363977342465095E-2</v>
      </c>
      <c r="U28" s="2361">
        <f>E28/E29-1</f>
        <v>4.4837114298626357E-2</v>
      </c>
      <c r="V28" s="2361">
        <f>F28/F29-1</f>
        <v>1.7099954922538574E-2</v>
      </c>
      <c r="X28" s="2324">
        <f>ROUND(SUMPRODUCT(PRODUCT(1+N28:N$35)),4)</f>
        <v>1.1269</v>
      </c>
      <c r="Y28" s="2324">
        <f>ROUND(SUMPRODUCT(PRODUCT(1+O28:O$35)),4)</f>
        <v>1.1052999999999999</v>
      </c>
      <c r="Z28" s="2324">
        <f t="shared" si="0"/>
        <v>1.1052999999999999</v>
      </c>
      <c r="AA28" s="2324">
        <f>ROUND(SUMPRODUCT(PRODUCT(1+P28:P$35)),4)</f>
        <v>1.1349</v>
      </c>
      <c r="AB28" s="2324">
        <f>ROUND(SUMPRODUCT(PRODUCT(1+Q28:Q$35)),4)</f>
        <v>1.0996999999999999</v>
      </c>
      <c r="AD28" s="2325">
        <f>ROUND(AVERAGE(I28:I$36)/100,4)</f>
        <v>1.67E-2</v>
      </c>
      <c r="AE28" s="2325">
        <f>ROUND(AVERAGE(J28:J$36)/100,4)</f>
        <v>1.38E-2</v>
      </c>
      <c r="AF28" s="2325">
        <f t="shared" si="181"/>
        <v>1.38E-2</v>
      </c>
      <c r="AG28" s="2325">
        <f>ROUND(AVERAGE(K28:K$36)/100,4)</f>
        <v>1.7899999999999999E-2</v>
      </c>
      <c r="AH28" s="2325">
        <f>ROUND(AVERAGE(L28:L$36)/100,4)</f>
        <v>1.21E-2</v>
      </c>
    </row>
    <row r="29" spans="1:34" ht="13.5" thickBot="1">
      <c r="A29" s="2338" t="s">
        <v>101</v>
      </c>
      <c r="B29" s="2348">
        <v>333</v>
      </c>
      <c r="C29" s="2348">
        <v>277</v>
      </c>
      <c r="D29" s="2348">
        <f t="shared" si="183"/>
        <v>277</v>
      </c>
      <c r="E29" s="2348">
        <v>459</v>
      </c>
      <c r="F29" s="2349">
        <v>249</v>
      </c>
      <c r="G29" s="3708">
        <v>2015</v>
      </c>
      <c r="H29" s="2365">
        <v>4</v>
      </c>
      <c r="I29" s="2365">
        <v>1.63</v>
      </c>
      <c r="J29" s="2365">
        <v>1.1100000000000001</v>
      </c>
      <c r="K29" s="2365">
        <v>1.77</v>
      </c>
      <c r="L29" s="2366">
        <v>1.89</v>
      </c>
      <c r="N29" s="2350">
        <f t="shared" si="185"/>
        <v>1.6299999999999999E-2</v>
      </c>
      <c r="O29" s="2351">
        <f t="shared" si="180"/>
        <v>1.11E-2</v>
      </c>
      <c r="P29" s="2351">
        <f t="shared" si="180"/>
        <v>1.77E-2</v>
      </c>
      <c r="Q29" s="2351">
        <f t="shared" si="180"/>
        <v>1.89E-2</v>
      </c>
      <c r="R29" s="2352"/>
      <c r="X29" s="2324">
        <f>ROUND(SUMPRODUCT(PRODUCT(1+N29:N$35)),4)</f>
        <v>1.0826</v>
      </c>
      <c r="Y29" s="2324">
        <f>ROUND(SUMPRODUCT(PRODUCT(1+O29:O$35)),4)</f>
        <v>1.0738000000000001</v>
      </c>
      <c r="Z29" s="2324">
        <f t="shared" si="0"/>
        <v>1.0738000000000001</v>
      </c>
      <c r="AA29" s="2324">
        <f>ROUND(SUMPRODUCT(PRODUCT(1+P29:P$35)),4)</f>
        <v>1.0855999999999999</v>
      </c>
      <c r="AB29" s="2324">
        <f>ROUND(SUMPRODUCT(PRODUCT(1+Q29:Q$35)),4)</f>
        <v>1.0837000000000001</v>
      </c>
      <c r="AD29" s="2325">
        <f>ROUND(AVERAGE(I29:I$36)/100,4)</f>
        <v>1.37E-2</v>
      </c>
      <c r="AE29" s="2325">
        <f>ROUND(AVERAGE(J29:J$36)/100,4)</f>
        <v>1.1900000000000001E-2</v>
      </c>
      <c r="AF29" s="2325">
        <f t="shared" si="181"/>
        <v>1.1900000000000001E-2</v>
      </c>
      <c r="AG29" s="2325">
        <f>ROUND(AVERAGE(K29:K$36)/100,4)</f>
        <v>1.4500000000000001E-2</v>
      </c>
      <c r="AH29" s="2325">
        <f>ROUND(AVERAGE(L29:L$36)/100,4)</f>
        <v>1.18E-2</v>
      </c>
    </row>
    <row r="30" spans="1:34">
      <c r="A30" s="2338" t="s">
        <v>100</v>
      </c>
      <c r="B30" s="2355">
        <f t="shared" ref="B30:C32" si="186">B29/(1+N29)</f>
        <v>327.65915576109415</v>
      </c>
      <c r="C30" s="2355">
        <f t="shared" si="186"/>
        <v>273.95905449510434</v>
      </c>
      <c r="D30" s="2355">
        <f t="shared" si="183"/>
        <v>273.95905449510434</v>
      </c>
      <c r="E30" s="2355">
        <f t="shared" ref="E30:F32" si="187">E29/(1+P29)</f>
        <v>451.01699911565294</v>
      </c>
      <c r="F30" s="2355">
        <f t="shared" si="187"/>
        <v>244.38119540681129</v>
      </c>
      <c r="G30" s="3709"/>
      <c r="H30" s="2368">
        <v>3</v>
      </c>
      <c r="I30" s="2368">
        <v>1.65</v>
      </c>
      <c r="J30" s="2368">
        <v>0.92</v>
      </c>
      <c r="K30" s="2368">
        <v>1.88</v>
      </c>
      <c r="L30" s="2369">
        <v>1.26</v>
      </c>
      <c r="N30" s="2356">
        <f t="shared" si="185"/>
        <v>1.6500000000000001E-2</v>
      </c>
      <c r="O30" s="2362">
        <f t="shared" si="180"/>
        <v>9.1999999999999998E-3</v>
      </c>
      <c r="P30" s="2362">
        <f t="shared" si="180"/>
        <v>1.8799999999999997E-2</v>
      </c>
      <c r="Q30" s="2362">
        <f t="shared" si="180"/>
        <v>1.26E-2</v>
      </c>
      <c r="R30" s="2352"/>
      <c r="S30" s="2356"/>
      <c r="T30" s="2325"/>
      <c r="U30" s="2325"/>
      <c r="V30" s="2325"/>
      <c r="X30" s="2324">
        <f>ROUND(SUMPRODUCT(PRODUCT(1+N30:N$35)),4)</f>
        <v>1.0651999999999999</v>
      </c>
      <c r="Y30" s="2324">
        <f>ROUND(SUMPRODUCT(PRODUCT(1+O30:O$35)),4)</f>
        <v>1.0621</v>
      </c>
      <c r="Z30" s="2324">
        <f t="shared" si="0"/>
        <v>1.0621</v>
      </c>
      <c r="AA30" s="2324">
        <f>ROUND(SUMPRODUCT(PRODUCT(1+P30:P$35)),4)</f>
        <v>1.0668</v>
      </c>
      <c r="AB30" s="2324">
        <f>ROUND(SUMPRODUCT(PRODUCT(1+Q30:Q$35)),4)</f>
        <v>1.0636000000000001</v>
      </c>
      <c r="AD30" s="2325">
        <f>ROUND(AVERAGE(I30:I$36)/100,4)</f>
        <v>1.3299999999999999E-2</v>
      </c>
      <c r="AE30" s="2325">
        <f>ROUND(AVERAGE(J30:J$36)/100,4)</f>
        <v>1.2E-2</v>
      </c>
      <c r="AF30" s="2325">
        <f t="shared" si="181"/>
        <v>1.2E-2</v>
      </c>
      <c r="AG30" s="2325">
        <f>ROUND(AVERAGE(K30:K$36)/100,4)</f>
        <v>1.4E-2</v>
      </c>
      <c r="AH30" s="2325">
        <f>ROUND(AVERAGE(L30:L$36)/100,4)</f>
        <v>1.0800000000000001E-2</v>
      </c>
    </row>
    <row r="31" spans="1:34">
      <c r="A31" s="2338" t="s">
        <v>99</v>
      </c>
      <c r="B31" s="2355">
        <f t="shared" si="186"/>
        <v>322.34053690220776</v>
      </c>
      <c r="C31" s="2355">
        <f t="shared" si="186"/>
        <v>271.46160770422546</v>
      </c>
      <c r="D31" s="2355">
        <f t="shared" si="183"/>
        <v>271.46160770422546</v>
      </c>
      <c r="E31" s="2355">
        <f t="shared" si="187"/>
        <v>442.69434542172456</v>
      </c>
      <c r="F31" s="2355">
        <f t="shared" si="187"/>
        <v>241.34030753190925</v>
      </c>
      <c r="G31" s="3709"/>
      <c r="H31" s="2358">
        <v>2</v>
      </c>
      <c r="I31" s="2358">
        <v>0.77</v>
      </c>
      <c r="J31" s="2358">
        <v>0.69</v>
      </c>
      <c r="K31" s="2358">
        <v>0.8</v>
      </c>
      <c r="L31" s="2359">
        <v>0.88</v>
      </c>
      <c r="N31" s="2356">
        <f t="shared" si="185"/>
        <v>7.7000000000000002E-3</v>
      </c>
      <c r="O31" s="2362">
        <f t="shared" si="180"/>
        <v>6.8999999999999999E-3</v>
      </c>
      <c r="P31" s="2362">
        <f t="shared" si="180"/>
        <v>8.0000000000000002E-3</v>
      </c>
      <c r="Q31" s="2362">
        <f t="shared" si="180"/>
        <v>8.8000000000000005E-3</v>
      </c>
      <c r="R31" s="2352"/>
      <c r="S31" s="2356"/>
      <c r="T31" s="2325"/>
      <c r="U31" s="2325"/>
      <c r="V31" s="2325"/>
      <c r="X31" s="2324">
        <f>ROUND(SUMPRODUCT(PRODUCT(1+N31:N$35)),4)</f>
        <v>1.048</v>
      </c>
      <c r="Y31" s="2324">
        <f>ROUND(SUMPRODUCT(PRODUCT(1+O31:O$35)),4)</f>
        <v>1.0524</v>
      </c>
      <c r="Z31" s="2324">
        <f t="shared" si="0"/>
        <v>1.0524</v>
      </c>
      <c r="AA31" s="2324">
        <f>ROUND(SUMPRODUCT(PRODUCT(1+P31:P$35)),4)</f>
        <v>1.0470999999999999</v>
      </c>
      <c r="AB31" s="2324">
        <f>ROUND(SUMPRODUCT(PRODUCT(1+Q31:Q$35)),4)</f>
        <v>1.0504</v>
      </c>
      <c r="AD31" s="2325">
        <f>ROUND(AVERAGE(I31:I$36)/100,4)</f>
        <v>1.2800000000000001E-2</v>
      </c>
      <c r="AE31" s="2325">
        <f>ROUND(AVERAGE(J31:J$36)/100,4)</f>
        <v>1.2500000000000001E-2</v>
      </c>
      <c r="AF31" s="2325">
        <f t="shared" si="181"/>
        <v>1.2500000000000001E-2</v>
      </c>
      <c r="AG31" s="2325">
        <f>ROUND(AVERAGE(K31:K$36)/100,4)</f>
        <v>1.32E-2</v>
      </c>
      <c r="AH31" s="2325">
        <f>ROUND(AVERAGE(L31:L$36)/100,4)</f>
        <v>1.0500000000000001E-2</v>
      </c>
    </row>
    <row r="32" spans="1:34">
      <c r="A32" s="2338" t="s">
        <v>98</v>
      </c>
      <c r="B32" s="2355">
        <f t="shared" si="186"/>
        <v>319.87748030386797</v>
      </c>
      <c r="C32" s="2355">
        <f t="shared" si="186"/>
        <v>269.60135833173649</v>
      </c>
      <c r="D32" s="2355">
        <f t="shared" si="183"/>
        <v>269.60135833173649</v>
      </c>
      <c r="E32" s="2355">
        <f t="shared" si="187"/>
        <v>439.18089823583784</v>
      </c>
      <c r="F32" s="2355">
        <f t="shared" si="187"/>
        <v>239.23503918706311</v>
      </c>
      <c r="G32" s="3710"/>
      <c r="H32" s="2340">
        <v>1</v>
      </c>
      <c r="I32" s="2340">
        <v>0.51</v>
      </c>
      <c r="J32" s="2340">
        <v>0.54</v>
      </c>
      <c r="K32" s="2340">
        <v>0.48</v>
      </c>
      <c r="L32" s="2341">
        <v>0.93</v>
      </c>
      <c r="N32" s="2360">
        <f t="shared" si="185"/>
        <v>5.1000000000000004E-3</v>
      </c>
      <c r="O32" s="2361">
        <f t="shared" si="180"/>
        <v>5.4000000000000003E-3</v>
      </c>
      <c r="P32" s="2361">
        <f t="shared" si="180"/>
        <v>4.7999999999999996E-3</v>
      </c>
      <c r="Q32" s="2361">
        <f t="shared" si="180"/>
        <v>9.300000000000001E-3</v>
      </c>
      <c r="R32" s="2352"/>
      <c r="S32" s="2360">
        <f>B32/B33-1</f>
        <v>5.9040261127922822E-3</v>
      </c>
      <c r="T32" s="2361">
        <f>C32/C33-1</f>
        <v>5.9752176557332781E-3</v>
      </c>
      <c r="U32" s="2361">
        <f>E32/E33-1</f>
        <v>4.9906138119859556E-3</v>
      </c>
      <c r="V32" s="2361">
        <f>F32/F33-1</f>
        <v>9.4305450930933787E-3</v>
      </c>
      <c r="X32" s="2324">
        <f>ROUND(SUMPRODUCT(PRODUCT(1+N32:N$35)),4)</f>
        <v>1.0399</v>
      </c>
      <c r="Y32" s="2324">
        <f>ROUND(SUMPRODUCT(PRODUCT(1+O32:O$35)),4)</f>
        <v>1.0451999999999999</v>
      </c>
      <c r="Z32" s="2324">
        <f t="shared" si="0"/>
        <v>1.0451999999999999</v>
      </c>
      <c r="AA32" s="2324">
        <f>ROUND(SUMPRODUCT(PRODUCT(1+P32:P$35)),4)</f>
        <v>1.0387999999999999</v>
      </c>
      <c r="AB32" s="2324">
        <f>ROUND(SUMPRODUCT(PRODUCT(1+Q32:Q$35)),4)</f>
        <v>1.0411999999999999</v>
      </c>
      <c r="AD32" s="2325">
        <f>ROUND(AVERAGE(I32:I$36)/100,4)</f>
        <v>1.38E-2</v>
      </c>
      <c r="AE32" s="2325">
        <f>ROUND(AVERAGE(J32:J$36)/100,4)</f>
        <v>1.3599999999999999E-2</v>
      </c>
      <c r="AF32" s="2325">
        <f t="shared" si="181"/>
        <v>1.3599999999999999E-2</v>
      </c>
      <c r="AG32" s="2325">
        <f>ROUND(AVERAGE(K32:K$36)/100,4)</f>
        <v>1.4200000000000001E-2</v>
      </c>
      <c r="AH32" s="2325">
        <f>ROUND(AVERAGE(L32:L$36)/100,4)</f>
        <v>1.0800000000000001E-2</v>
      </c>
    </row>
    <row r="33" spans="1:34" ht="13.5" thickBot="1">
      <c r="A33" s="2338" t="s">
        <v>97</v>
      </c>
      <c r="B33" s="2370">
        <v>318</v>
      </c>
      <c r="C33" s="2370">
        <v>268</v>
      </c>
      <c r="D33" s="2370">
        <f t="shared" si="183"/>
        <v>268</v>
      </c>
      <c r="E33" s="2370">
        <v>437</v>
      </c>
      <c r="F33" s="2371">
        <v>237</v>
      </c>
      <c r="G33" s="3708">
        <v>2014</v>
      </c>
      <c r="H33" s="2365">
        <v>4</v>
      </c>
      <c r="I33" s="2365">
        <v>0.21</v>
      </c>
      <c r="J33" s="2365">
        <v>0.41</v>
      </c>
      <c r="K33" s="2365">
        <v>0.12</v>
      </c>
      <c r="L33" s="2366">
        <v>0.89</v>
      </c>
      <c r="N33" s="2356">
        <f t="shared" si="185"/>
        <v>2.0999999999999999E-3</v>
      </c>
      <c r="O33" s="2325">
        <f t="shared" si="180"/>
        <v>4.0999999999999995E-3</v>
      </c>
      <c r="P33" s="2325">
        <f t="shared" si="180"/>
        <v>1.1999999999999999E-3</v>
      </c>
      <c r="Q33" s="2325">
        <f t="shared" si="180"/>
        <v>8.8999999999999999E-3</v>
      </c>
      <c r="R33" s="2352"/>
      <c r="S33" s="2353"/>
      <c r="T33" s="2354"/>
      <c r="U33" s="2354"/>
      <c r="V33" s="2354"/>
      <c r="X33" s="2324">
        <f>ROUND(SUMPRODUCT(PRODUCT(1+N33:N$35)),4)</f>
        <v>1.0347</v>
      </c>
      <c r="Y33" s="2324">
        <f>ROUND(SUMPRODUCT(PRODUCT(1+O33:O$35)),4)</f>
        <v>1.0395000000000001</v>
      </c>
      <c r="Z33" s="2324">
        <f t="shared" si="0"/>
        <v>1.0395000000000001</v>
      </c>
      <c r="AA33" s="2324">
        <f>ROUND(SUMPRODUCT(PRODUCT(1+P33:P$35)),4)</f>
        <v>1.0338000000000001</v>
      </c>
      <c r="AB33" s="2324">
        <f>ROUND(SUMPRODUCT(PRODUCT(1+Q33:Q$35)),4)</f>
        <v>1.0316000000000001</v>
      </c>
      <c r="AD33" s="2325">
        <f>ROUND(AVERAGE(I33:I$36)/100,4)</f>
        <v>1.6E-2</v>
      </c>
      <c r="AE33" s="2325">
        <f>ROUND(AVERAGE(J33:J$36)/100,4)</f>
        <v>1.5599999999999999E-2</v>
      </c>
      <c r="AF33" s="2325">
        <f t="shared" si="181"/>
        <v>1.5599999999999999E-2</v>
      </c>
      <c r="AG33" s="2325">
        <f>ROUND(AVERAGE(K33:K$36)/100,4)</f>
        <v>1.66E-2</v>
      </c>
      <c r="AH33" s="2325">
        <f>ROUND(AVERAGE(L33:L$36)/100,4)</f>
        <v>1.12E-2</v>
      </c>
    </row>
    <row r="34" spans="1:34">
      <c r="A34" s="2338" t="s">
        <v>96</v>
      </c>
      <c r="B34" s="2355">
        <f t="shared" ref="B34:C36" si="188">B33/(1+N33)</f>
        <v>317.33359944117353</v>
      </c>
      <c r="C34" s="2355">
        <f t="shared" si="188"/>
        <v>266.90568668459315</v>
      </c>
      <c r="D34" s="2355">
        <f t="shared" si="183"/>
        <v>266.90568668459315</v>
      </c>
      <c r="E34" s="2355">
        <f t="shared" ref="E34:F36" si="189">E33/(1+P33)</f>
        <v>436.47622852576905</v>
      </c>
      <c r="F34" s="2355">
        <f t="shared" si="189"/>
        <v>234.90930716622066</v>
      </c>
      <c r="G34" s="3709"/>
      <c r="H34" s="2372">
        <v>3</v>
      </c>
      <c r="I34" s="2372">
        <v>0.83</v>
      </c>
      <c r="J34" s="2372">
        <v>1.47</v>
      </c>
      <c r="K34" s="2372">
        <v>0.65</v>
      </c>
      <c r="L34" s="2373">
        <v>0.72</v>
      </c>
      <c r="N34" s="2356">
        <f t="shared" si="185"/>
        <v>8.3000000000000001E-3</v>
      </c>
      <c r="O34" s="2325">
        <f t="shared" si="180"/>
        <v>1.47E-2</v>
      </c>
      <c r="P34" s="2325">
        <f t="shared" si="180"/>
        <v>6.5000000000000006E-3</v>
      </c>
      <c r="Q34" s="2325">
        <f t="shared" si="180"/>
        <v>7.1999999999999998E-3</v>
      </c>
      <c r="R34" s="2352"/>
      <c r="S34" s="2356"/>
      <c r="T34" s="2325"/>
      <c r="U34" s="2325"/>
      <c r="V34" s="2325"/>
      <c r="X34" s="2324">
        <f>ROUND(SUMPRODUCT(PRODUCT(1+N34:N$35)),4)</f>
        <v>1.0325</v>
      </c>
      <c r="Y34" s="2324">
        <f>ROUND(SUMPRODUCT(PRODUCT(1+O34:O$35)),4)</f>
        <v>1.0353000000000001</v>
      </c>
      <c r="Z34" s="2324">
        <f t="shared" ref="Z34:Z35" si="190">Y34</f>
        <v>1.0353000000000001</v>
      </c>
      <c r="AA34" s="2324">
        <f>ROUND(SUMPRODUCT(PRODUCT(1+P34:P$35)),4)</f>
        <v>1.0326</v>
      </c>
      <c r="AB34" s="2324">
        <f>ROUND(SUMPRODUCT(PRODUCT(1+Q34:Q$35)),4)</f>
        <v>1.0225</v>
      </c>
      <c r="AD34" s="2325">
        <f>ROUND(AVERAGE(I34:I$36)/100,4)</f>
        <v>2.07E-2</v>
      </c>
      <c r="AE34" s="2325">
        <f>ROUND(AVERAGE(J34:J$36)/100,4)</f>
        <v>1.95E-2</v>
      </c>
      <c r="AF34" s="2325">
        <f t="shared" si="181"/>
        <v>1.95E-2</v>
      </c>
      <c r="AG34" s="2325">
        <f>ROUND(AVERAGE(K34:K$36)/100,4)</f>
        <v>2.1700000000000001E-2</v>
      </c>
      <c r="AH34" s="2325">
        <f>ROUND(AVERAGE(L34:L$36)/100,4)</f>
        <v>1.2E-2</v>
      </c>
    </row>
    <row r="35" spans="1:34" ht="13.5" thickBot="1">
      <c r="A35" s="2338" t="s">
        <v>95</v>
      </c>
      <c r="B35" s="2355">
        <f t="shared" si="188"/>
        <v>314.72141172386546</v>
      </c>
      <c r="C35" s="2355">
        <f t="shared" si="188"/>
        <v>263.03901319069001</v>
      </c>
      <c r="D35" s="2355">
        <f t="shared" si="183"/>
        <v>263.03901319069001</v>
      </c>
      <c r="E35" s="2355">
        <f t="shared" si="189"/>
        <v>433.65745506782821</v>
      </c>
      <c r="F35" s="2355">
        <f t="shared" si="189"/>
        <v>233.23005080045735</v>
      </c>
      <c r="G35" s="3709"/>
      <c r="H35" s="2365">
        <v>2</v>
      </c>
      <c r="I35" s="2365">
        <v>2.4</v>
      </c>
      <c r="J35" s="2365">
        <v>2.0299999999999998</v>
      </c>
      <c r="K35" s="2365">
        <v>2.59</v>
      </c>
      <c r="L35" s="2366">
        <v>1.52</v>
      </c>
      <c r="N35" s="2356">
        <f t="shared" si="185"/>
        <v>2.4E-2</v>
      </c>
      <c r="O35" s="2325">
        <f t="shared" si="180"/>
        <v>2.0299999999999999E-2</v>
      </c>
      <c r="P35" s="2325">
        <f t="shared" si="180"/>
        <v>2.5899999999999999E-2</v>
      </c>
      <c r="Q35" s="2325">
        <f t="shared" si="180"/>
        <v>1.52E-2</v>
      </c>
      <c r="R35" s="2352"/>
      <c r="S35" s="2356"/>
      <c r="T35" s="2325"/>
      <c r="U35" s="2325"/>
      <c r="V35" s="2325"/>
      <c r="X35" s="2324">
        <f>1+N35</f>
        <v>1.024</v>
      </c>
      <c r="Y35" s="2324">
        <f>1+O35</f>
        <v>1.0203</v>
      </c>
      <c r="Z35" s="2324">
        <f t="shared" si="190"/>
        <v>1.0203</v>
      </c>
      <c r="AA35" s="2324">
        <f>1+P35</f>
        <v>1.0259</v>
      </c>
      <c r="AB35" s="2324">
        <f>1+Q35</f>
        <v>1.0152000000000001</v>
      </c>
      <c r="AD35" s="2325">
        <f>ROUND(AVERAGE(I35:I$36)/100,4)</f>
        <v>2.69E-2</v>
      </c>
      <c r="AE35" s="2325">
        <f>ROUND(AVERAGE(J35:J$36)/100,4)</f>
        <v>2.1899999999999999E-2</v>
      </c>
      <c r="AF35" s="2325">
        <f t="shared" ref="AF35" si="191">AE35</f>
        <v>2.1899999999999999E-2</v>
      </c>
      <c r="AG35" s="2325">
        <f>ROUND(AVERAGE(K35:K$36)/100,4)</f>
        <v>2.9399999999999999E-2</v>
      </c>
      <c r="AH35" s="2325">
        <f>ROUND(AVERAGE(L35:L$36)/100,4)</f>
        <v>1.44E-2</v>
      </c>
    </row>
    <row r="36" spans="1:34" s="2378" customFormat="1" ht="13.5" thickBot="1">
      <c r="A36" s="2374" t="s">
        <v>94</v>
      </c>
      <c r="B36" s="2375">
        <f t="shared" si="188"/>
        <v>307.34512863658733</v>
      </c>
      <c r="C36" s="2375">
        <f t="shared" si="188"/>
        <v>257.80556031626975</v>
      </c>
      <c r="D36" s="2375">
        <f t="shared" si="183"/>
        <v>257.80556031626975</v>
      </c>
      <c r="E36" s="2375">
        <f t="shared" si="189"/>
        <v>422.70928459677179</v>
      </c>
      <c r="F36" s="2375">
        <f t="shared" si="189"/>
        <v>229.73803270336617</v>
      </c>
      <c r="G36" s="3710"/>
      <c r="H36" s="2376">
        <v>1</v>
      </c>
      <c r="I36" s="2376">
        <v>2.97</v>
      </c>
      <c r="J36" s="2376">
        <v>2.34</v>
      </c>
      <c r="K36" s="2376">
        <v>3.28</v>
      </c>
      <c r="L36" s="2377">
        <v>1.36</v>
      </c>
      <c r="N36" s="2379">
        <f t="shared" si="185"/>
        <v>2.9700000000000001E-2</v>
      </c>
      <c r="O36" s="2380">
        <f t="shared" si="180"/>
        <v>2.3399999999999997E-2</v>
      </c>
      <c r="P36" s="2380">
        <f t="shared" si="180"/>
        <v>3.2799999999999996E-2</v>
      </c>
      <c r="Q36" s="2380">
        <f t="shared" si="180"/>
        <v>1.3600000000000001E-2</v>
      </c>
      <c r="R36" s="2381"/>
      <c r="S36" s="2382">
        <f>B36/B37-1</f>
        <v>2.7910129219355539E-2</v>
      </c>
      <c r="T36" s="2383">
        <f>C36/C37-1</f>
        <v>2.3037937762975247E-2</v>
      </c>
      <c r="U36" s="2383">
        <f>E36/E37-1</f>
        <v>3.3519033243940788E-2</v>
      </c>
      <c r="V36" s="2383">
        <f>F36/F37-1</f>
        <v>1.2061818076502862E-2</v>
      </c>
      <c r="W36" s="2384" t="s">
        <v>1149</v>
      </c>
      <c r="X36" s="2385">
        <v>1</v>
      </c>
      <c r="Y36" s="2385">
        <v>1</v>
      </c>
      <c r="Z36" s="2385">
        <v>1</v>
      </c>
      <c r="AA36" s="2385">
        <v>1</v>
      </c>
      <c r="AB36" s="2385">
        <v>1</v>
      </c>
      <c r="AD36" s="2380">
        <f>I36/100</f>
        <v>2.9700000000000001E-2</v>
      </c>
      <c r="AE36" s="2380">
        <f>J36/100</f>
        <v>2.3399999999999997E-2</v>
      </c>
      <c r="AF36" s="2380">
        <f>AE36</f>
        <v>2.3399999999999997E-2</v>
      </c>
      <c r="AG36" s="2380">
        <f>K36/100</f>
        <v>3.2799999999999996E-2</v>
      </c>
      <c r="AH36" s="2380">
        <f>L36/100</f>
        <v>1.3600000000000001E-2</v>
      </c>
    </row>
    <row r="37" spans="1:34" ht="13.5" thickBot="1">
      <c r="A37" s="2338" t="s">
        <v>982</v>
      </c>
      <c r="B37" s="2348">
        <v>299</v>
      </c>
      <c r="C37" s="2348">
        <v>252</v>
      </c>
      <c r="D37" s="2348">
        <f t="shared" si="183"/>
        <v>252</v>
      </c>
      <c r="E37" s="2348">
        <v>409</v>
      </c>
      <c r="F37" s="2349">
        <v>227</v>
      </c>
      <c r="G37" s="3715">
        <v>2013</v>
      </c>
      <c r="H37" s="2386">
        <v>4</v>
      </c>
      <c r="I37" s="2386">
        <v>1.83</v>
      </c>
      <c r="J37" s="2386">
        <v>1.68</v>
      </c>
      <c r="K37" s="2386">
        <v>1.97</v>
      </c>
      <c r="L37" s="2387">
        <v>0.87</v>
      </c>
      <c r="N37" s="2350">
        <f t="shared" si="185"/>
        <v>1.83E-2</v>
      </c>
      <c r="O37" s="2351">
        <f t="shared" si="180"/>
        <v>1.6799999999999999E-2</v>
      </c>
      <c r="P37" s="2351">
        <f t="shared" si="180"/>
        <v>1.9699999999999999E-2</v>
      </c>
      <c r="Q37" s="2351">
        <f t="shared" si="180"/>
        <v>8.6999999999999994E-3</v>
      </c>
      <c r="R37" s="2352"/>
      <c r="S37" s="2353"/>
      <c r="T37" s="2354"/>
      <c r="U37" s="2354"/>
      <c r="V37" s="2354"/>
      <c r="X37" s="2354"/>
      <c r="Y37" s="2354"/>
      <c r="Z37" s="2354"/>
    </row>
    <row r="38" spans="1:34">
      <c r="A38" s="2338" t="s">
        <v>983</v>
      </c>
      <c r="B38" s="2355">
        <f t="shared" ref="B38:C40" si="192">B37/(1+N37)</f>
        <v>293.62663262299913</v>
      </c>
      <c r="C38" s="2355">
        <f t="shared" si="192"/>
        <v>247.83634933123525</v>
      </c>
      <c r="D38" s="2355">
        <f t="shared" si="183"/>
        <v>247.83634933123525</v>
      </c>
      <c r="E38" s="2355">
        <f t="shared" ref="E38:F40" si="193">E37/(1+P37)</f>
        <v>401.09836226341076</v>
      </c>
      <c r="F38" s="2355">
        <f t="shared" si="193"/>
        <v>225.04213343908003</v>
      </c>
      <c r="G38" s="3716"/>
      <c r="H38" s="2368">
        <v>3</v>
      </c>
      <c r="I38" s="2368">
        <v>1.86</v>
      </c>
      <c r="J38" s="2368">
        <v>1.72</v>
      </c>
      <c r="K38" s="2368">
        <v>1.98</v>
      </c>
      <c r="L38" s="2369">
        <v>0.88</v>
      </c>
      <c r="N38" s="2356">
        <f t="shared" si="185"/>
        <v>1.8600000000000002E-2</v>
      </c>
      <c r="O38" s="2362">
        <f t="shared" si="180"/>
        <v>1.72E-2</v>
      </c>
      <c r="P38" s="2362">
        <f t="shared" si="180"/>
        <v>1.9799999999999998E-2</v>
      </c>
      <c r="Q38" s="2362">
        <f t="shared" si="180"/>
        <v>8.8000000000000005E-3</v>
      </c>
      <c r="R38" s="2352"/>
      <c r="S38" s="2356"/>
      <c r="T38" s="2325"/>
      <c r="U38" s="2325"/>
      <c r="V38" s="2325"/>
    </row>
    <row r="39" spans="1:34">
      <c r="A39" s="2338" t="s">
        <v>984</v>
      </c>
      <c r="B39" s="2355">
        <f t="shared" si="192"/>
        <v>288.2649053828776</v>
      </c>
      <c r="C39" s="2355">
        <f t="shared" si="192"/>
        <v>243.64564425013293</v>
      </c>
      <c r="D39" s="2355">
        <f t="shared" si="183"/>
        <v>243.64564425013293</v>
      </c>
      <c r="E39" s="2355">
        <f t="shared" si="193"/>
        <v>393.31080825986544</v>
      </c>
      <c r="F39" s="2355">
        <f t="shared" si="193"/>
        <v>223.07903790551154</v>
      </c>
      <c r="G39" s="3716"/>
      <c r="H39" s="2358">
        <v>2</v>
      </c>
      <c r="I39" s="2358">
        <v>2.04</v>
      </c>
      <c r="J39" s="2358">
        <v>2.33</v>
      </c>
      <c r="K39" s="2358">
        <v>2.0699999999999998</v>
      </c>
      <c r="L39" s="2359">
        <v>0.69</v>
      </c>
      <c r="N39" s="2356">
        <f t="shared" si="185"/>
        <v>2.0400000000000001E-2</v>
      </c>
      <c r="O39" s="2362">
        <f t="shared" si="180"/>
        <v>2.3300000000000001E-2</v>
      </c>
      <c r="P39" s="2362">
        <f t="shared" si="180"/>
        <v>2.07E-2</v>
      </c>
      <c r="Q39" s="2362">
        <f t="shared" si="180"/>
        <v>6.8999999999999999E-3</v>
      </c>
      <c r="R39" s="2352"/>
      <c r="S39" s="2356"/>
      <c r="T39" s="2325"/>
      <c r="U39" s="2325"/>
      <c r="V39" s="2325"/>
      <c r="X39" s="2388"/>
      <c r="Y39" s="2389"/>
    </row>
    <row r="40" spans="1:34">
      <c r="A40" s="2338" t="s">
        <v>985</v>
      </c>
      <c r="B40" s="2355">
        <f t="shared" si="192"/>
        <v>282.50186729015837</v>
      </c>
      <c r="C40" s="2355">
        <f t="shared" si="192"/>
        <v>238.09796174155468</v>
      </c>
      <c r="D40" s="2355">
        <f t="shared" si="183"/>
        <v>238.09796174155468</v>
      </c>
      <c r="E40" s="2355">
        <f t="shared" si="193"/>
        <v>385.33438646014054</v>
      </c>
      <c r="F40" s="2355">
        <f t="shared" si="193"/>
        <v>221.55034055567739</v>
      </c>
      <c r="G40" s="3717"/>
      <c r="H40" s="2340">
        <v>1</v>
      </c>
      <c r="I40" s="2340">
        <v>1.67</v>
      </c>
      <c r="J40" s="2340">
        <v>1.31</v>
      </c>
      <c r="K40" s="2340">
        <v>1.85</v>
      </c>
      <c r="L40" s="2341">
        <v>0.96</v>
      </c>
      <c r="N40" s="2360">
        <f t="shared" si="185"/>
        <v>1.67E-2</v>
      </c>
      <c r="O40" s="2361">
        <f t="shared" si="185"/>
        <v>1.3100000000000001E-2</v>
      </c>
      <c r="P40" s="2361">
        <f t="shared" si="185"/>
        <v>1.8500000000000003E-2</v>
      </c>
      <c r="Q40" s="2361">
        <f t="shared" si="185"/>
        <v>9.5999999999999992E-3</v>
      </c>
      <c r="R40" s="2352"/>
      <c r="S40" s="2360">
        <f>B40/B41-1</f>
        <v>1.6193767230785472E-2</v>
      </c>
      <c r="T40" s="2361">
        <f>C40/C41-1</f>
        <v>1.7512657015190891E-2</v>
      </c>
      <c r="U40" s="2361">
        <f>E40/E41-1</f>
        <v>1.6713420739157048E-2</v>
      </c>
      <c r="V40" s="2361">
        <f>F40/F41-1</f>
        <v>7.0470025258062563E-3</v>
      </c>
      <c r="X40" s="2390"/>
      <c r="Y40" s="2325"/>
      <c r="Z40" s="2325"/>
    </row>
    <row r="41" spans="1:34" ht="13.5" thickBot="1">
      <c r="A41" s="2338" t="s">
        <v>986</v>
      </c>
      <c r="B41" s="2391">
        <v>278</v>
      </c>
      <c r="C41" s="2391">
        <v>234</v>
      </c>
      <c r="D41" s="2391">
        <f t="shared" si="183"/>
        <v>234</v>
      </c>
      <c r="E41" s="2391">
        <v>379</v>
      </c>
      <c r="F41" s="2392">
        <v>220</v>
      </c>
      <c r="G41" s="3708">
        <v>2012</v>
      </c>
      <c r="H41" s="2365">
        <v>4</v>
      </c>
      <c r="I41" s="2365">
        <v>0.91</v>
      </c>
      <c r="J41" s="2365">
        <v>0.68</v>
      </c>
      <c r="K41" s="2365">
        <v>0.98</v>
      </c>
      <c r="L41" s="2366">
        <v>0.9</v>
      </c>
      <c r="N41" s="2356">
        <f t="shared" si="185"/>
        <v>9.1000000000000004E-3</v>
      </c>
      <c r="O41" s="2325">
        <f t="shared" si="185"/>
        <v>6.8000000000000005E-3</v>
      </c>
      <c r="P41" s="2325">
        <f t="shared" si="185"/>
        <v>9.7999999999999997E-3</v>
      </c>
      <c r="Q41" s="2325">
        <f t="shared" si="185"/>
        <v>9.0000000000000011E-3</v>
      </c>
      <c r="R41" s="2352"/>
      <c r="S41" s="2353"/>
      <c r="T41" s="2354"/>
      <c r="U41" s="2354"/>
      <c r="V41" s="2354"/>
      <c r="X41" s="2354"/>
      <c r="Y41" s="2354"/>
      <c r="Z41" s="2354"/>
    </row>
    <row r="42" spans="1:34">
      <c r="A42" s="2338" t="s">
        <v>987</v>
      </c>
      <c r="B42" s="2355">
        <f>B41/(1+N41)</f>
        <v>275.49301357645425</v>
      </c>
      <c r="C42" s="2355">
        <f>C41/(1+O41)</f>
        <v>232.41954707985698</v>
      </c>
      <c r="D42" s="2355">
        <f t="shared" si="183"/>
        <v>232.41954707985698</v>
      </c>
      <c r="E42" s="2355">
        <f t="shared" ref="E42:F44" si="194">E41/(1+P41)</f>
        <v>375.32184591008121</v>
      </c>
      <c r="F42" s="2355">
        <f t="shared" si="194"/>
        <v>218.03766105054513</v>
      </c>
      <c r="G42" s="3709"/>
      <c r="H42" s="2368">
        <v>3</v>
      </c>
      <c r="I42" s="2368">
        <v>0.09</v>
      </c>
      <c r="J42" s="2368">
        <v>0.28999999999999998</v>
      </c>
      <c r="K42" s="2368">
        <v>-0.01</v>
      </c>
      <c r="L42" s="2369">
        <v>0.57999999999999996</v>
      </c>
      <c r="N42" s="2356">
        <f t="shared" si="185"/>
        <v>8.9999999999999998E-4</v>
      </c>
      <c r="O42" s="2325">
        <f t="shared" si="185"/>
        <v>2.8999999999999998E-3</v>
      </c>
      <c r="P42" s="2325">
        <f t="shared" si="185"/>
        <v>-1E-4</v>
      </c>
      <c r="Q42" s="2325">
        <f t="shared" si="185"/>
        <v>5.7999999999999996E-3</v>
      </c>
      <c r="R42" s="2352"/>
      <c r="S42" s="2356"/>
      <c r="T42" s="2325"/>
      <c r="U42" s="2325"/>
      <c r="V42" s="2325"/>
    </row>
    <row r="43" spans="1:34">
      <c r="A43" s="2338" t="s">
        <v>988</v>
      </c>
      <c r="B43" s="2355">
        <f>B42/(1+N42)</f>
        <v>275.24529281292263</v>
      </c>
      <c r="C43" s="2355">
        <f>C42/(1+O42)</f>
        <v>231.74747938962707</v>
      </c>
      <c r="D43" s="2355">
        <f t="shared" si="183"/>
        <v>231.74747938962707</v>
      </c>
      <c r="E43" s="2355">
        <f t="shared" si="194"/>
        <v>375.35938184826603</v>
      </c>
      <c r="F43" s="2355">
        <f t="shared" si="194"/>
        <v>216.78033510692495</v>
      </c>
      <c r="G43" s="3709"/>
      <c r="H43" s="2358">
        <v>2</v>
      </c>
      <c r="I43" s="2358">
        <v>0.02</v>
      </c>
      <c r="J43" s="2358">
        <v>0.12</v>
      </c>
      <c r="K43" s="2358">
        <v>-0.08</v>
      </c>
      <c r="L43" s="2359">
        <v>1.24</v>
      </c>
      <c r="N43" s="2356">
        <f t="shared" si="185"/>
        <v>2.0000000000000001E-4</v>
      </c>
      <c r="O43" s="2325">
        <f t="shared" si="185"/>
        <v>1.1999999999999999E-3</v>
      </c>
      <c r="P43" s="2325">
        <f t="shared" si="185"/>
        <v>-8.0000000000000004E-4</v>
      </c>
      <c r="Q43" s="2325">
        <f t="shared" si="185"/>
        <v>1.24E-2</v>
      </c>
      <c r="R43" s="2352"/>
      <c r="S43" s="2356"/>
      <c r="T43" s="2325"/>
      <c r="U43" s="2325"/>
      <c r="V43" s="2325"/>
    </row>
    <row r="44" spans="1:34" ht="13.5" thickBot="1">
      <c r="A44" s="2338" t="s">
        <v>989</v>
      </c>
      <c r="B44" s="2355">
        <f>B43/(1+N43)</f>
        <v>275.19025476197027</v>
      </c>
      <c r="C44" s="2393">
        <v>232</v>
      </c>
      <c r="D44" s="2393">
        <f t="shared" si="183"/>
        <v>232</v>
      </c>
      <c r="E44" s="2355">
        <f t="shared" si="194"/>
        <v>375.65990977608692</v>
      </c>
      <c r="F44" s="2355">
        <f t="shared" si="194"/>
        <v>214.12518283971252</v>
      </c>
      <c r="G44" s="3710"/>
      <c r="H44" s="2340">
        <v>1</v>
      </c>
      <c r="I44" s="2340">
        <v>0.02</v>
      </c>
      <c r="J44" s="2340">
        <v>0.13</v>
      </c>
      <c r="K44" s="2340">
        <v>-0.04</v>
      </c>
      <c r="L44" s="2341">
        <v>0.46</v>
      </c>
      <c r="N44" s="2356">
        <f t="shared" si="185"/>
        <v>2.0000000000000001E-4</v>
      </c>
      <c r="O44" s="2325">
        <f t="shared" si="185"/>
        <v>1.2999999999999999E-3</v>
      </c>
      <c r="P44" s="2325">
        <f t="shared" si="185"/>
        <v>-4.0000000000000002E-4</v>
      </c>
      <c r="Q44" s="2325">
        <f t="shared" si="185"/>
        <v>4.5999999999999999E-3</v>
      </c>
      <c r="R44" s="2352"/>
      <c r="S44" s="2360">
        <f>B44/B45-1</f>
        <v>6.9183549807361189E-4</v>
      </c>
      <c r="T44" s="2361">
        <f>C44/C45-1</f>
        <v>0</v>
      </c>
      <c r="U44" s="2361">
        <f>E44/E45-1</f>
        <v>-9.0449527636460303E-4</v>
      </c>
      <c r="V44" s="2361">
        <f>F44/F45-1</f>
        <v>5.2825485432512753E-3</v>
      </c>
      <c r="X44" s="2325"/>
      <c r="Y44" s="2325"/>
      <c r="Z44" s="2325"/>
    </row>
    <row r="45" spans="1:34" ht="13.5" thickBot="1">
      <c r="A45" s="2338" t="s">
        <v>990</v>
      </c>
      <c r="B45" s="2348">
        <v>275</v>
      </c>
      <c r="C45" s="2348">
        <v>232</v>
      </c>
      <c r="D45" s="2348">
        <f t="shared" si="183"/>
        <v>232</v>
      </c>
      <c r="E45" s="2348">
        <v>376</v>
      </c>
      <c r="F45" s="2349">
        <v>213</v>
      </c>
      <c r="G45" s="3708">
        <v>2011</v>
      </c>
      <c r="H45" s="2365">
        <v>4</v>
      </c>
      <c r="I45" s="2365">
        <v>-0.2</v>
      </c>
      <c r="J45" s="2365">
        <v>0.04</v>
      </c>
      <c r="K45" s="2365">
        <v>-0.34</v>
      </c>
      <c r="L45" s="2366">
        <v>0.46</v>
      </c>
      <c r="N45" s="2350">
        <f t="shared" si="185"/>
        <v>-2E-3</v>
      </c>
      <c r="O45" s="2351">
        <f t="shared" si="185"/>
        <v>4.0000000000000002E-4</v>
      </c>
      <c r="P45" s="2351">
        <f t="shared" si="185"/>
        <v>-3.4000000000000002E-3</v>
      </c>
      <c r="Q45" s="2351">
        <f t="shared" si="185"/>
        <v>4.5999999999999999E-3</v>
      </c>
      <c r="R45" s="2352"/>
      <c r="S45" s="2353"/>
      <c r="T45" s="2354"/>
      <c r="U45" s="2354"/>
      <c r="V45" s="2354"/>
      <c r="X45" s="2354"/>
      <c r="Y45" s="2354"/>
      <c r="Z45" s="2354"/>
    </row>
    <row r="46" spans="1:34">
      <c r="A46" s="2338" t="s">
        <v>991</v>
      </c>
      <c r="B46" s="2355">
        <f t="shared" ref="B46:C48" si="195">B45/(1+N45)</f>
        <v>275.55110220440883</v>
      </c>
      <c r="C46" s="2355">
        <f t="shared" si="195"/>
        <v>231.90723710515795</v>
      </c>
      <c r="D46" s="2355">
        <f t="shared" si="183"/>
        <v>231.90723710515795</v>
      </c>
      <c r="E46" s="2355">
        <f t="shared" ref="E46:F48" si="196">E45/(1+P45)</f>
        <v>377.28276138872161</v>
      </c>
      <c r="F46" s="2355">
        <f t="shared" si="196"/>
        <v>212.02468644236512</v>
      </c>
      <c r="G46" s="3709">
        <v>2011</v>
      </c>
      <c r="H46" s="2368">
        <v>3</v>
      </c>
      <c r="I46" s="2368">
        <v>0.13</v>
      </c>
      <c r="J46" s="2368">
        <v>0.75</v>
      </c>
      <c r="K46" s="2368">
        <v>-0.08</v>
      </c>
      <c r="L46" s="2369">
        <v>0.53</v>
      </c>
      <c r="N46" s="2356">
        <f t="shared" si="185"/>
        <v>1.2999999999999999E-3</v>
      </c>
      <c r="O46" s="2362">
        <f t="shared" si="185"/>
        <v>7.4999999999999997E-3</v>
      </c>
      <c r="P46" s="2362">
        <f t="shared" si="185"/>
        <v>-8.0000000000000004E-4</v>
      </c>
      <c r="Q46" s="2362">
        <f t="shared" si="185"/>
        <v>5.3E-3</v>
      </c>
      <c r="R46" s="2352"/>
      <c r="S46" s="2356"/>
      <c r="T46" s="2325"/>
      <c r="U46" s="2325"/>
      <c r="V46" s="2325"/>
    </row>
    <row r="47" spans="1:34">
      <c r="A47" s="2338" t="s">
        <v>992</v>
      </c>
      <c r="B47" s="2355">
        <f t="shared" si="195"/>
        <v>275.19335084830601</v>
      </c>
      <c r="C47" s="2355">
        <f t="shared" si="195"/>
        <v>230.18088050139744</v>
      </c>
      <c r="D47" s="2355">
        <f t="shared" si="183"/>
        <v>230.18088050139744</v>
      </c>
      <c r="E47" s="2355">
        <f t="shared" si="196"/>
        <v>377.58482925212331</v>
      </c>
      <c r="F47" s="2355">
        <f t="shared" si="196"/>
        <v>210.90687997847917</v>
      </c>
      <c r="G47" s="3709">
        <v>2011</v>
      </c>
      <c r="H47" s="2358">
        <v>2</v>
      </c>
      <c r="I47" s="2358">
        <v>-0.4</v>
      </c>
      <c r="J47" s="2358">
        <v>0.17</v>
      </c>
      <c r="K47" s="2358">
        <v>-0.57999999999999996</v>
      </c>
      <c r="L47" s="2359">
        <v>-0.2</v>
      </c>
      <c r="N47" s="2356">
        <f t="shared" si="185"/>
        <v>-4.0000000000000001E-3</v>
      </c>
      <c r="O47" s="2362">
        <f t="shared" si="185"/>
        <v>1.7000000000000001E-3</v>
      </c>
      <c r="P47" s="2362">
        <f t="shared" si="185"/>
        <v>-5.7999999999999996E-3</v>
      </c>
      <c r="Q47" s="2362">
        <f t="shared" si="185"/>
        <v>-2E-3</v>
      </c>
      <c r="R47" s="2352"/>
      <c r="S47" s="2356"/>
      <c r="T47" s="2325"/>
      <c r="U47" s="2325"/>
      <c r="V47" s="2325"/>
    </row>
    <row r="48" spans="1:34" ht="13.5" thickBot="1">
      <c r="A48" s="2338" t="s">
        <v>993</v>
      </c>
      <c r="B48" s="2355">
        <f t="shared" si="195"/>
        <v>276.29854502841971</v>
      </c>
      <c r="C48" s="2355">
        <f t="shared" si="195"/>
        <v>229.79023709833027</v>
      </c>
      <c r="D48" s="2355">
        <f t="shared" si="183"/>
        <v>229.79023709833027</v>
      </c>
      <c r="E48" s="2355">
        <f t="shared" si="196"/>
        <v>379.78759731655936</v>
      </c>
      <c r="F48" s="2355">
        <f t="shared" si="196"/>
        <v>211.32953905659235</v>
      </c>
      <c r="G48" s="3710">
        <v>2011</v>
      </c>
      <c r="H48" s="2340">
        <v>1</v>
      </c>
      <c r="I48" s="2340">
        <v>2.65</v>
      </c>
      <c r="J48" s="2340">
        <v>3.76</v>
      </c>
      <c r="K48" s="2340">
        <v>1.89</v>
      </c>
      <c r="L48" s="2341">
        <v>7.95</v>
      </c>
      <c r="N48" s="2360">
        <f t="shared" si="185"/>
        <v>2.6499999999999999E-2</v>
      </c>
      <c r="O48" s="2361">
        <f t="shared" si="185"/>
        <v>3.7599999999999995E-2</v>
      </c>
      <c r="P48" s="2361">
        <f t="shared" si="185"/>
        <v>1.89E-2</v>
      </c>
      <c r="Q48" s="2361">
        <f t="shared" si="185"/>
        <v>7.9500000000000001E-2</v>
      </c>
      <c r="R48" s="2352"/>
      <c r="S48" s="2360">
        <f>B48/B49-1</f>
        <v>2.713213765211786E-2</v>
      </c>
      <c r="T48" s="2361">
        <f>C48/C49-1</f>
        <v>3.9774828499231862E-2</v>
      </c>
      <c r="U48" s="2361">
        <f>E48/E49-1</f>
        <v>1.8197311840641772E-2</v>
      </c>
      <c r="V48" s="2361">
        <f>F48/F49-1</f>
        <v>7.8211933962205826E-2</v>
      </c>
      <c r="X48" s="2325"/>
      <c r="Y48" s="2325"/>
      <c r="Z48" s="2325"/>
    </row>
    <row r="49" spans="1:26" ht="13.5" thickBot="1">
      <c r="A49" s="2338" t="s">
        <v>994</v>
      </c>
      <c r="B49" s="2348">
        <v>269</v>
      </c>
      <c r="C49" s="2348">
        <v>221</v>
      </c>
      <c r="D49" s="2348">
        <f t="shared" si="183"/>
        <v>221</v>
      </c>
      <c r="E49" s="2348">
        <v>373</v>
      </c>
      <c r="F49" s="2349">
        <v>196</v>
      </c>
      <c r="G49" s="3708">
        <v>2010</v>
      </c>
      <c r="H49" s="2365">
        <v>4</v>
      </c>
      <c r="I49" s="2365">
        <v>5.72</v>
      </c>
      <c r="J49" s="2365">
        <v>6.57</v>
      </c>
      <c r="K49" s="2365">
        <v>5.72</v>
      </c>
      <c r="L49" s="2366">
        <v>2.72</v>
      </c>
      <c r="N49" s="2356">
        <f t="shared" si="185"/>
        <v>5.7200000000000001E-2</v>
      </c>
      <c r="O49" s="2325">
        <f t="shared" si="185"/>
        <v>6.5700000000000008E-2</v>
      </c>
      <c r="P49" s="2325">
        <f t="shared" si="185"/>
        <v>5.7200000000000001E-2</v>
      </c>
      <c r="Q49" s="2325">
        <f t="shared" si="185"/>
        <v>2.7200000000000002E-2</v>
      </c>
      <c r="R49" s="2352"/>
      <c r="S49" s="2353"/>
      <c r="T49" s="2354"/>
      <c r="U49" s="2354"/>
      <c r="V49" s="2354"/>
      <c r="X49" s="2354"/>
      <c r="Y49" s="2354"/>
      <c r="Z49" s="2354"/>
    </row>
    <row r="50" spans="1:26">
      <c r="A50" s="2338" t="s">
        <v>995</v>
      </c>
      <c r="B50" s="2355">
        <f t="shared" ref="B50:C52" si="197">B49/(1+N49)</f>
        <v>254.44570563753314</v>
      </c>
      <c r="C50" s="2355">
        <f t="shared" si="197"/>
        <v>207.37543398705074</v>
      </c>
      <c r="D50" s="2355">
        <f t="shared" si="183"/>
        <v>207.37543398705074</v>
      </c>
      <c r="E50" s="2355">
        <f t="shared" ref="E50:F52" si="198">E49/(1+P49)</f>
        <v>352.81876655315932</v>
      </c>
      <c r="F50" s="2355">
        <f t="shared" si="198"/>
        <v>190.809968847352</v>
      </c>
      <c r="G50" s="3709">
        <v>2010</v>
      </c>
      <c r="H50" s="2368">
        <v>3</v>
      </c>
      <c r="I50" s="2368">
        <v>4.7300000000000004</v>
      </c>
      <c r="J50" s="2368">
        <v>3.9</v>
      </c>
      <c r="K50" s="2368">
        <v>5.03</v>
      </c>
      <c r="L50" s="2369">
        <v>4.21</v>
      </c>
      <c r="N50" s="2356">
        <f t="shared" si="185"/>
        <v>4.7300000000000002E-2</v>
      </c>
      <c r="O50" s="2325">
        <f t="shared" si="185"/>
        <v>3.9E-2</v>
      </c>
      <c r="P50" s="2325">
        <f t="shared" si="185"/>
        <v>5.0300000000000004E-2</v>
      </c>
      <c r="Q50" s="2325">
        <f t="shared" si="185"/>
        <v>4.2099999999999999E-2</v>
      </c>
      <c r="R50" s="2352"/>
      <c r="S50" s="2356"/>
      <c r="T50" s="2325"/>
      <c r="U50" s="2325"/>
      <c r="V50" s="2325"/>
    </row>
    <row r="51" spans="1:26">
      <c r="A51" s="2338" t="s">
        <v>996</v>
      </c>
      <c r="B51" s="2355">
        <f t="shared" si="197"/>
        <v>242.95398227588385</v>
      </c>
      <c r="C51" s="2355">
        <f t="shared" si="197"/>
        <v>199.59137053614126</v>
      </c>
      <c r="D51" s="2355">
        <f t="shared" si="183"/>
        <v>199.59137053614126</v>
      </c>
      <c r="E51" s="2355">
        <f t="shared" si="198"/>
        <v>335.92189522342125</v>
      </c>
      <c r="F51" s="2355">
        <f t="shared" si="198"/>
        <v>183.10139991109489</v>
      </c>
      <c r="G51" s="3709">
        <v>2010</v>
      </c>
      <c r="H51" s="2358">
        <v>2</v>
      </c>
      <c r="I51" s="2358">
        <v>4.6900000000000004</v>
      </c>
      <c r="J51" s="2358">
        <v>3.55</v>
      </c>
      <c r="K51" s="2358">
        <v>5.07</v>
      </c>
      <c r="L51" s="2359">
        <v>4.2300000000000004</v>
      </c>
      <c r="N51" s="2356">
        <f t="shared" si="185"/>
        <v>4.6900000000000004E-2</v>
      </c>
      <c r="O51" s="2325">
        <f t="shared" si="185"/>
        <v>3.5499999999999997E-2</v>
      </c>
      <c r="P51" s="2325">
        <f t="shared" si="185"/>
        <v>5.0700000000000002E-2</v>
      </c>
      <c r="Q51" s="2325">
        <f t="shared" si="185"/>
        <v>4.2300000000000004E-2</v>
      </c>
      <c r="R51" s="2352"/>
      <c r="S51" s="2356"/>
      <c r="T51" s="2325"/>
      <c r="U51" s="2325"/>
      <c r="V51" s="2325"/>
    </row>
    <row r="52" spans="1:26" ht="13.5" thickBot="1">
      <c r="A52" s="2338" t="s">
        <v>997</v>
      </c>
      <c r="B52" s="2355">
        <f t="shared" si="197"/>
        <v>232.06990378821649</v>
      </c>
      <c r="C52" s="2355">
        <f t="shared" si="197"/>
        <v>192.74878854286936</v>
      </c>
      <c r="D52" s="2355">
        <f t="shared" si="183"/>
        <v>192.74878854286936</v>
      </c>
      <c r="E52" s="2355">
        <f t="shared" si="198"/>
        <v>319.71247284992984</v>
      </c>
      <c r="F52" s="2355">
        <f t="shared" si="198"/>
        <v>175.67053622862409</v>
      </c>
      <c r="G52" s="3710">
        <v>2010</v>
      </c>
      <c r="H52" s="2340">
        <v>1</v>
      </c>
      <c r="I52" s="2340">
        <v>5.4</v>
      </c>
      <c r="J52" s="2340">
        <v>3.2</v>
      </c>
      <c r="K52" s="2340">
        <v>6.16</v>
      </c>
      <c r="L52" s="2341">
        <v>4.51</v>
      </c>
      <c r="N52" s="2356">
        <f t="shared" si="185"/>
        <v>5.4000000000000006E-2</v>
      </c>
      <c r="O52" s="2325">
        <f t="shared" si="185"/>
        <v>3.2000000000000001E-2</v>
      </c>
      <c r="P52" s="2325">
        <f t="shared" si="185"/>
        <v>6.1600000000000002E-2</v>
      </c>
      <c r="Q52" s="2325">
        <f t="shared" si="185"/>
        <v>4.5100000000000001E-2</v>
      </c>
      <c r="R52" s="2352"/>
      <c r="S52" s="2360">
        <f>B52/B53-1</f>
        <v>5.4863199037347599E-2</v>
      </c>
      <c r="T52" s="2361">
        <f>C52/C53-1</f>
        <v>3.0742184721226584E-2</v>
      </c>
      <c r="U52" s="2361">
        <f>E52/E53-1</f>
        <v>6.2167683886810154E-2</v>
      </c>
      <c r="V52" s="2361">
        <f>F52/F53-1</f>
        <v>4.5657953741810031E-2</v>
      </c>
      <c r="X52" s="2325"/>
      <c r="Y52" s="2325"/>
      <c r="Z52" s="2325"/>
    </row>
    <row r="53" spans="1:26" ht="13.5" thickBot="1">
      <c r="A53" s="2338" t="s">
        <v>998</v>
      </c>
      <c r="B53" s="2348">
        <v>220</v>
      </c>
      <c r="C53" s="2348">
        <v>187</v>
      </c>
      <c r="D53" s="2348">
        <f t="shared" si="183"/>
        <v>187</v>
      </c>
      <c r="E53" s="2348">
        <v>301</v>
      </c>
      <c r="F53" s="2349">
        <v>168</v>
      </c>
      <c r="G53" s="3708">
        <v>2009</v>
      </c>
      <c r="H53" s="2365">
        <v>4</v>
      </c>
      <c r="I53" s="2365">
        <v>2.2999999999999998</v>
      </c>
      <c r="J53" s="2365">
        <v>1.04</v>
      </c>
      <c r="K53" s="2365">
        <v>2.84</v>
      </c>
      <c r="L53" s="2366">
        <v>0.67</v>
      </c>
      <c r="N53" s="2350">
        <f t="shared" si="185"/>
        <v>2.3E-2</v>
      </c>
      <c r="O53" s="2351">
        <f t="shared" si="185"/>
        <v>1.04E-2</v>
      </c>
      <c r="P53" s="2351">
        <f t="shared" si="185"/>
        <v>2.8399999999999998E-2</v>
      </c>
      <c r="Q53" s="2351">
        <f t="shared" si="185"/>
        <v>6.7000000000000002E-3</v>
      </c>
      <c r="R53" s="2352"/>
      <c r="S53" s="2353"/>
      <c r="T53" s="2354"/>
      <c r="U53" s="2354"/>
      <c r="V53" s="2354"/>
      <c r="X53" s="2354"/>
      <c r="Y53" s="2354"/>
      <c r="Z53" s="2354"/>
    </row>
    <row r="54" spans="1:26">
      <c r="A54" s="2338" t="s">
        <v>999</v>
      </c>
      <c r="B54" s="2355">
        <f t="shared" ref="B54:C56" si="199">B53/(1+N53)</f>
        <v>215.05376344086022</v>
      </c>
      <c r="C54" s="2355">
        <f t="shared" si="199"/>
        <v>185.0752177355503</v>
      </c>
      <c r="D54" s="2355">
        <f t="shared" si="183"/>
        <v>185.0752177355503</v>
      </c>
      <c r="E54" s="2355">
        <f t="shared" ref="E54:F56" si="200">E53/(1+P53)</f>
        <v>292.68767016725008</v>
      </c>
      <c r="F54" s="2355">
        <f t="shared" si="200"/>
        <v>166.88189132810174</v>
      </c>
      <c r="G54" s="3709">
        <v>2009</v>
      </c>
      <c r="H54" s="2368">
        <v>3</v>
      </c>
      <c r="I54" s="2368">
        <v>2.1</v>
      </c>
      <c r="J54" s="2368">
        <v>1.86</v>
      </c>
      <c r="K54" s="2368">
        <v>2.29</v>
      </c>
      <c r="L54" s="2369">
        <v>0.85</v>
      </c>
      <c r="N54" s="2356">
        <f t="shared" si="185"/>
        <v>2.1000000000000001E-2</v>
      </c>
      <c r="O54" s="2362">
        <f t="shared" si="185"/>
        <v>1.8600000000000002E-2</v>
      </c>
      <c r="P54" s="2362">
        <f t="shared" si="185"/>
        <v>2.29E-2</v>
      </c>
      <c r="Q54" s="2362">
        <f t="shared" si="185"/>
        <v>8.5000000000000006E-3</v>
      </c>
      <c r="R54" s="2352"/>
      <c r="S54" s="2356"/>
      <c r="T54" s="2325"/>
      <c r="U54" s="2325"/>
      <c r="V54" s="2325"/>
    </row>
    <row r="55" spans="1:26">
      <c r="A55" s="2338" t="s">
        <v>1000</v>
      </c>
      <c r="B55" s="2355">
        <f t="shared" si="199"/>
        <v>210.630522469011</v>
      </c>
      <c r="C55" s="2355">
        <f t="shared" si="199"/>
        <v>181.69567812247232</v>
      </c>
      <c r="D55" s="2355">
        <f t="shared" si="183"/>
        <v>181.69567812247232</v>
      </c>
      <c r="E55" s="2355">
        <f t="shared" si="200"/>
        <v>286.13517466736738</v>
      </c>
      <c r="F55" s="2355">
        <f t="shared" si="200"/>
        <v>165.47535084591149</v>
      </c>
      <c r="G55" s="3709">
        <v>2009</v>
      </c>
      <c r="H55" s="2358">
        <v>2</v>
      </c>
      <c r="I55" s="2358">
        <v>0.86</v>
      </c>
      <c r="J55" s="2358">
        <v>-1.1299999999999999</v>
      </c>
      <c r="K55" s="2358">
        <v>1.79</v>
      </c>
      <c r="L55" s="2359">
        <v>-2.0699999999999998</v>
      </c>
      <c r="N55" s="2356">
        <f t="shared" si="185"/>
        <v>8.6E-3</v>
      </c>
      <c r="O55" s="2362">
        <f t="shared" si="185"/>
        <v>-1.1299999999999999E-2</v>
      </c>
      <c r="P55" s="2362">
        <f t="shared" si="185"/>
        <v>1.7899999999999999E-2</v>
      </c>
      <c r="Q55" s="2362">
        <f t="shared" si="185"/>
        <v>-2.07E-2</v>
      </c>
      <c r="R55" s="2352"/>
      <c r="S55" s="2356"/>
      <c r="T55" s="2325"/>
      <c r="U55" s="2325"/>
      <c r="V55" s="2325"/>
    </row>
    <row r="56" spans="1:26">
      <c r="A56" s="2338" t="s">
        <v>1001</v>
      </c>
      <c r="B56" s="2355">
        <f t="shared" si="199"/>
        <v>208.83454537875372</v>
      </c>
      <c r="C56" s="2355">
        <f t="shared" si="199"/>
        <v>183.77230517090351</v>
      </c>
      <c r="D56" s="2355">
        <f t="shared" si="183"/>
        <v>183.77230517090351</v>
      </c>
      <c r="E56" s="2355">
        <f t="shared" si="200"/>
        <v>281.10342338870947</v>
      </c>
      <c r="F56" s="2355">
        <f t="shared" si="200"/>
        <v>168.97309388942256</v>
      </c>
      <c r="G56" s="3710">
        <v>2009</v>
      </c>
      <c r="H56" s="2340">
        <v>1</v>
      </c>
      <c r="I56" s="2340">
        <v>-2.64</v>
      </c>
      <c r="J56" s="2340">
        <v>-2.5299999999999998</v>
      </c>
      <c r="K56" s="2340">
        <v>-3.02</v>
      </c>
      <c r="L56" s="2341">
        <v>1.52</v>
      </c>
      <c r="N56" s="2360">
        <f t="shared" si="185"/>
        <v>-2.64E-2</v>
      </c>
      <c r="O56" s="2361">
        <f t="shared" si="185"/>
        <v>-2.53E-2</v>
      </c>
      <c r="P56" s="2361">
        <f t="shared" si="185"/>
        <v>-3.0200000000000001E-2</v>
      </c>
      <c r="Q56" s="2361">
        <f t="shared" si="185"/>
        <v>1.52E-2</v>
      </c>
      <c r="R56" s="2352"/>
      <c r="S56" s="2360">
        <f>B56/B57-1</f>
        <v>-2.4137638417038754E-2</v>
      </c>
      <c r="T56" s="2361">
        <f>C56/C57-1</f>
        <v>-2.248773845264096E-2</v>
      </c>
      <c r="U56" s="2361">
        <f>E56/E57-1</f>
        <v>-2.7323794502735366E-2</v>
      </c>
      <c r="V56" s="2361">
        <f>F56/F57-1</f>
        <v>1.7910204153148035E-2</v>
      </c>
      <c r="X56" s="2325"/>
      <c r="Y56" s="2325"/>
      <c r="Z56" s="2325"/>
    </row>
    <row r="57" spans="1:26" ht="13.5" thickBot="1">
      <c r="A57" s="2338" t="s">
        <v>1002</v>
      </c>
      <c r="B57" s="2391">
        <v>214</v>
      </c>
      <c r="C57" s="2391">
        <v>188</v>
      </c>
      <c r="D57" s="2391">
        <f t="shared" si="183"/>
        <v>188</v>
      </c>
      <c r="E57" s="2391">
        <v>289</v>
      </c>
      <c r="F57" s="2392">
        <v>166</v>
      </c>
      <c r="G57" s="3708">
        <v>2008</v>
      </c>
      <c r="H57" s="2365">
        <v>4</v>
      </c>
      <c r="I57" s="2365">
        <v>1.73</v>
      </c>
      <c r="J57" s="2365">
        <v>0.03</v>
      </c>
      <c r="K57" s="2365">
        <v>2.59</v>
      </c>
      <c r="L57" s="2366">
        <v>-1.66</v>
      </c>
      <c r="N57" s="2356">
        <f t="shared" si="185"/>
        <v>1.7299999999999999E-2</v>
      </c>
      <c r="O57" s="2325">
        <f t="shared" si="185"/>
        <v>2.9999999999999997E-4</v>
      </c>
      <c r="P57" s="2325">
        <f t="shared" si="185"/>
        <v>2.5899999999999999E-2</v>
      </c>
      <c r="Q57" s="2325">
        <f t="shared" si="185"/>
        <v>-1.66E-2</v>
      </c>
      <c r="R57" s="2352"/>
      <c r="S57" s="2353"/>
      <c r="T57" s="2354"/>
      <c r="U57" s="2354"/>
      <c r="V57" s="2354"/>
      <c r="X57" s="2354"/>
      <c r="Y57" s="2354"/>
      <c r="Z57" s="2354"/>
    </row>
    <row r="58" spans="1:26">
      <c r="A58" s="2338" t="s">
        <v>1003</v>
      </c>
      <c r="B58" s="2355">
        <f t="shared" ref="B58:C60" si="201">B57/(1+N57)</f>
        <v>210.36075887152265</v>
      </c>
      <c r="C58" s="2355">
        <f t="shared" si="201"/>
        <v>187.94361691492554</v>
      </c>
      <c r="D58" s="2355">
        <f t="shared" si="183"/>
        <v>187.94361691492554</v>
      </c>
      <c r="E58" s="2355">
        <f t="shared" ref="E58:F60" si="202">E57/(1+P57)</f>
        <v>281.70386977288234</v>
      </c>
      <c r="F58" s="2355">
        <f t="shared" si="202"/>
        <v>168.80211511083994</v>
      </c>
      <c r="G58" s="3709">
        <v>2008</v>
      </c>
      <c r="H58" s="2368">
        <v>3</v>
      </c>
      <c r="I58" s="2368">
        <v>1.96</v>
      </c>
      <c r="J58" s="2368">
        <v>2.36</v>
      </c>
      <c r="K58" s="2368">
        <v>1.82</v>
      </c>
      <c r="L58" s="2369">
        <v>2.2200000000000002</v>
      </c>
      <c r="N58" s="2356">
        <f t="shared" si="185"/>
        <v>1.9599999999999999E-2</v>
      </c>
      <c r="O58" s="2325">
        <f t="shared" si="185"/>
        <v>2.3599999999999999E-2</v>
      </c>
      <c r="P58" s="2325">
        <f t="shared" si="185"/>
        <v>1.8200000000000001E-2</v>
      </c>
      <c r="Q58" s="2325">
        <f t="shared" si="185"/>
        <v>2.2200000000000001E-2</v>
      </c>
      <c r="R58" s="2352"/>
      <c r="S58" s="2356"/>
      <c r="T58" s="2325"/>
      <c r="U58" s="2325"/>
      <c r="V58" s="2325"/>
    </row>
    <row r="59" spans="1:26">
      <c r="A59" s="2338" t="s">
        <v>1004</v>
      </c>
      <c r="B59" s="2355">
        <f t="shared" si="201"/>
        <v>206.31694671589116</v>
      </c>
      <c r="C59" s="2355">
        <f t="shared" si="201"/>
        <v>183.61041121036101</v>
      </c>
      <c r="D59" s="2355">
        <f t="shared" si="183"/>
        <v>183.61041121036101</v>
      </c>
      <c r="E59" s="2355">
        <f t="shared" si="202"/>
        <v>276.66850301795557</v>
      </c>
      <c r="F59" s="2355">
        <f t="shared" si="202"/>
        <v>165.1360938278614</v>
      </c>
      <c r="G59" s="3709">
        <v>2008</v>
      </c>
      <c r="H59" s="2358">
        <v>2</v>
      </c>
      <c r="I59" s="2358">
        <v>4.93</v>
      </c>
      <c r="J59" s="2358">
        <v>7.38</v>
      </c>
      <c r="K59" s="2358">
        <v>3.98</v>
      </c>
      <c r="L59" s="2359">
        <v>6.86</v>
      </c>
      <c r="N59" s="2356">
        <f t="shared" si="185"/>
        <v>4.9299999999999997E-2</v>
      </c>
      <c r="O59" s="2325">
        <f t="shared" si="185"/>
        <v>7.3800000000000004E-2</v>
      </c>
      <c r="P59" s="2325">
        <f t="shared" si="185"/>
        <v>3.9800000000000002E-2</v>
      </c>
      <c r="Q59" s="2325">
        <f t="shared" si="185"/>
        <v>6.8600000000000008E-2</v>
      </c>
      <c r="R59" s="2352"/>
      <c r="S59" s="2356"/>
      <c r="T59" s="2325"/>
      <c r="U59" s="2325"/>
      <c r="V59" s="2325"/>
    </row>
    <row r="60" spans="1:26" s="2397" customFormat="1" ht="13.5" thickBot="1">
      <c r="A60" s="2338" t="s">
        <v>1005</v>
      </c>
      <c r="B60" s="2394">
        <f t="shared" si="201"/>
        <v>196.62341248059772</v>
      </c>
      <c r="C60" s="2394">
        <f t="shared" si="201"/>
        <v>170.99125648199012</v>
      </c>
      <c r="D60" s="2394">
        <f t="shared" si="183"/>
        <v>170.99125648199012</v>
      </c>
      <c r="E60" s="2394">
        <f t="shared" si="202"/>
        <v>266.07857570490052</v>
      </c>
      <c r="F60" s="2394">
        <f t="shared" si="202"/>
        <v>154.53499328828505</v>
      </c>
      <c r="G60" s="3710">
        <v>2008</v>
      </c>
      <c r="H60" s="2395">
        <v>1</v>
      </c>
      <c r="I60" s="2395">
        <v>4.1399999999999997</v>
      </c>
      <c r="J60" s="2395">
        <v>3.45</v>
      </c>
      <c r="K60" s="2395">
        <v>4.95</v>
      </c>
      <c r="L60" s="2396">
        <v>4.82</v>
      </c>
      <c r="N60" s="2398">
        <f t="shared" si="185"/>
        <v>4.1399999999999999E-2</v>
      </c>
      <c r="O60" s="2399">
        <f t="shared" si="185"/>
        <v>3.4500000000000003E-2</v>
      </c>
      <c r="P60" s="2399">
        <f t="shared" si="185"/>
        <v>4.9500000000000002E-2</v>
      </c>
      <c r="Q60" s="2399">
        <f t="shared" si="185"/>
        <v>4.82E-2</v>
      </c>
      <c r="R60" s="2400"/>
      <c r="S60" s="2398">
        <f>B60/B61-1</f>
        <v>4.5869215322328349E-2</v>
      </c>
      <c r="T60" s="2399">
        <f>C60/C61-1</f>
        <v>3.6310645345394743E-2</v>
      </c>
      <c r="U60" s="2399">
        <f>E60/E61-1</f>
        <v>4.7553447657088688E-2</v>
      </c>
      <c r="V60" s="2399">
        <f>F60/F61-1</f>
        <v>4.4155360055980086E-2</v>
      </c>
      <c r="X60" s="2399"/>
      <c r="Y60" s="2399"/>
      <c r="Z60" s="2399"/>
    </row>
    <row r="61" spans="1:26" ht="13.5" thickBot="1">
      <c r="A61" s="2338" t="s">
        <v>1006</v>
      </c>
      <c r="B61" s="2348">
        <v>188</v>
      </c>
      <c r="C61" s="2348">
        <v>165</v>
      </c>
      <c r="D61" s="2348">
        <f t="shared" si="183"/>
        <v>165</v>
      </c>
      <c r="E61" s="2348">
        <v>254</v>
      </c>
      <c r="F61" s="2349">
        <v>148</v>
      </c>
      <c r="G61" s="3708">
        <v>2007</v>
      </c>
      <c r="H61" s="2401">
        <v>4</v>
      </c>
      <c r="I61" s="2401">
        <v>5.51</v>
      </c>
      <c r="J61" s="2401">
        <v>4.8899999999999997</v>
      </c>
      <c r="K61" s="2401">
        <v>6.43</v>
      </c>
      <c r="L61" s="2402">
        <v>5.36</v>
      </c>
      <c r="N61" s="2403">
        <f t="shared" ref="N61:O64" si="203">B61/B62-1</f>
        <v>4.1339718365245526E-2</v>
      </c>
      <c r="O61" s="2404">
        <f t="shared" si="203"/>
        <v>4.0324492593776018E-2</v>
      </c>
      <c r="P61" s="2404">
        <f t="shared" ref="P61:Q64" si="204">E61/E62-1</f>
        <v>6.1625555347990968E-2</v>
      </c>
      <c r="Q61" s="2404">
        <f t="shared" si="204"/>
        <v>4.6757569250590603E-2</v>
      </c>
      <c r="R61" s="2352"/>
      <c r="S61" s="2353"/>
      <c r="T61" s="2354"/>
      <c r="U61" s="2354"/>
      <c r="V61" s="2354"/>
      <c r="X61" s="2354"/>
      <c r="Y61" s="2354"/>
      <c r="Z61" s="2354"/>
    </row>
    <row r="62" spans="1:26">
      <c r="A62" s="2338" t="s">
        <v>1007</v>
      </c>
      <c r="B62" s="2355">
        <f t="shared" ref="B62:C64" si="205">B63+(B$61-B$65)*I62/SUM(I$61:I$64)</f>
        <v>180.5366651097618</v>
      </c>
      <c r="C62" s="2355">
        <f t="shared" si="205"/>
        <v>158.60435967302453</v>
      </c>
      <c r="D62" s="2355">
        <f t="shared" si="183"/>
        <v>158.60435967302453</v>
      </c>
      <c r="E62" s="2355">
        <f t="shared" ref="E62:F64" si="206">E63+(E$61-E$65)*K62/SUM(K$61:K$64)</f>
        <v>239.25573260785075</v>
      </c>
      <c r="F62" s="2355">
        <f t="shared" si="206"/>
        <v>141.38899430740037</v>
      </c>
      <c r="G62" s="3709">
        <v>2007</v>
      </c>
      <c r="H62" s="2368">
        <v>3</v>
      </c>
      <c r="I62" s="2368">
        <v>8.65</v>
      </c>
      <c r="J62" s="2368">
        <v>8.06</v>
      </c>
      <c r="K62" s="2368">
        <v>9.94</v>
      </c>
      <c r="L62" s="2369">
        <v>5.8</v>
      </c>
      <c r="N62" s="2403">
        <f t="shared" si="203"/>
        <v>6.940217571740015E-2</v>
      </c>
      <c r="O62" s="2404">
        <f t="shared" si="203"/>
        <v>7.1197482471153428E-2</v>
      </c>
      <c r="P62" s="2404">
        <f t="shared" si="204"/>
        <v>0.10529679922579582</v>
      </c>
      <c r="Q62" s="2404">
        <f t="shared" si="204"/>
        <v>5.3292245059512133E-2</v>
      </c>
      <c r="R62" s="2352"/>
      <c r="S62" s="2356"/>
      <c r="T62" s="2325"/>
      <c r="U62" s="2325"/>
      <c r="V62" s="2325"/>
      <c r="X62" s="2405"/>
      <c r="Y62" s="2405"/>
      <c r="Z62" s="2405"/>
    </row>
    <row r="63" spans="1:26">
      <c r="A63" s="2338" t="s">
        <v>1008</v>
      </c>
      <c r="B63" s="2355">
        <f t="shared" si="205"/>
        <v>168.82017748715555</v>
      </c>
      <c r="C63" s="2355">
        <f t="shared" si="205"/>
        <v>148.06267029972753</v>
      </c>
      <c r="D63" s="2355">
        <f t="shared" si="183"/>
        <v>148.06267029972753</v>
      </c>
      <c r="E63" s="2355">
        <f t="shared" si="206"/>
        <v>216.46288379323747</v>
      </c>
      <c r="F63" s="2355">
        <f t="shared" si="206"/>
        <v>134.23529411764704</v>
      </c>
      <c r="G63" s="3709">
        <v>2007</v>
      </c>
      <c r="H63" s="2358">
        <v>2</v>
      </c>
      <c r="I63" s="2358">
        <v>3.67</v>
      </c>
      <c r="J63" s="2358">
        <v>2.3199999999999998</v>
      </c>
      <c r="K63" s="2358">
        <v>5.0199999999999996</v>
      </c>
      <c r="L63" s="2359">
        <v>6.71</v>
      </c>
      <c r="N63" s="2403">
        <f t="shared" si="203"/>
        <v>3.0339138143848032E-2</v>
      </c>
      <c r="O63" s="2404">
        <f t="shared" si="203"/>
        <v>2.0922341588790472E-2</v>
      </c>
      <c r="P63" s="2404">
        <f t="shared" si="204"/>
        <v>5.6164796592717003E-2</v>
      </c>
      <c r="Q63" s="2404">
        <f t="shared" si="204"/>
        <v>6.5704536723887319E-2</v>
      </c>
      <c r="R63" s="2352"/>
      <c r="S63" s="2356"/>
      <c r="T63" s="2325"/>
      <c r="U63" s="2325"/>
      <c r="V63" s="2325"/>
      <c r="X63" s="2405"/>
      <c r="Y63" s="2405"/>
      <c r="Z63" s="2405"/>
    </row>
    <row r="64" spans="1:26">
      <c r="A64" s="2338" t="s">
        <v>1009</v>
      </c>
      <c r="B64" s="2355">
        <f t="shared" si="205"/>
        <v>163.84913591779542</v>
      </c>
      <c r="C64" s="2355">
        <f t="shared" si="205"/>
        <v>145.0283378746594</v>
      </c>
      <c r="D64" s="2355">
        <f t="shared" si="183"/>
        <v>145.0283378746594</v>
      </c>
      <c r="E64" s="2355">
        <f t="shared" si="206"/>
        <v>204.95180722891567</v>
      </c>
      <c r="F64" s="2355">
        <f t="shared" si="206"/>
        <v>125.95920303605313</v>
      </c>
      <c r="G64" s="3710">
        <v>2007</v>
      </c>
      <c r="H64" s="2340">
        <v>1</v>
      </c>
      <c r="I64" s="2340">
        <v>3.58</v>
      </c>
      <c r="J64" s="2340">
        <v>3.08</v>
      </c>
      <c r="K64" s="2340">
        <v>4.34</v>
      </c>
      <c r="L64" s="2341">
        <v>3.21</v>
      </c>
      <c r="N64" s="2406">
        <f t="shared" si="203"/>
        <v>3.0497710174814063E-2</v>
      </c>
      <c r="O64" s="2407">
        <f t="shared" si="203"/>
        <v>2.8569772160704998E-2</v>
      </c>
      <c r="P64" s="2407">
        <f t="shared" si="204"/>
        <v>5.1034908866234296E-2</v>
      </c>
      <c r="Q64" s="2407">
        <f t="shared" si="204"/>
        <v>3.245248390207478E-2</v>
      </c>
      <c r="R64" s="2352"/>
      <c r="S64" s="2360">
        <f>B64/B65-1</f>
        <v>3.0497710174814063E-2</v>
      </c>
      <c r="T64" s="2361">
        <f>C64/C65-1</f>
        <v>2.8569772160704998E-2</v>
      </c>
      <c r="U64" s="2361">
        <f>E64/E65-1</f>
        <v>5.1034908866234296E-2</v>
      </c>
      <c r="V64" s="2361">
        <f>F64/F65-1</f>
        <v>3.245248390207478E-2</v>
      </c>
      <c r="X64" s="2405"/>
      <c r="Y64" s="2405"/>
      <c r="Z64" s="2405"/>
    </row>
    <row r="65" spans="1:26" ht="13.5" thickBot="1">
      <c r="A65" s="2338" t="s">
        <v>1010</v>
      </c>
      <c r="B65" s="2370">
        <v>159</v>
      </c>
      <c r="C65" s="2370">
        <v>141</v>
      </c>
      <c r="D65" s="2370">
        <f t="shared" si="183"/>
        <v>141</v>
      </c>
      <c r="E65" s="2370">
        <v>195</v>
      </c>
      <c r="F65" s="2371">
        <v>122</v>
      </c>
      <c r="G65" s="3708">
        <v>2006</v>
      </c>
      <c r="H65" s="2365">
        <v>4</v>
      </c>
      <c r="I65" s="2365">
        <v>3.79</v>
      </c>
      <c r="J65" s="2365">
        <v>2.21</v>
      </c>
      <c r="K65" s="2365">
        <v>5.65</v>
      </c>
      <c r="L65" s="2366">
        <v>5.41</v>
      </c>
      <c r="N65" s="2403">
        <f t="shared" ref="N65:O68" si="207">I65/SUM(I$65:I$68)*(B$65/B$69-1)</f>
        <v>7.245466462748526E-2</v>
      </c>
      <c r="O65" s="2404">
        <f t="shared" si="207"/>
        <v>2.3237230038062766E-2</v>
      </c>
      <c r="P65" s="2404">
        <f t="shared" ref="P65:Q68" si="208">K65/SUM(K$65:K$68)*(E$65/E$69-1)</f>
        <v>0.16146893866323722</v>
      </c>
      <c r="Q65" s="2404">
        <f t="shared" si="208"/>
        <v>5.0755230321793784E-2</v>
      </c>
      <c r="R65" s="2352"/>
      <c r="S65" s="2353"/>
      <c r="T65" s="2354"/>
      <c r="U65" s="2354"/>
      <c r="V65" s="2354"/>
      <c r="X65" s="2405"/>
      <c r="Y65" s="2405"/>
      <c r="Z65" s="2405"/>
    </row>
    <row r="66" spans="1:26">
      <c r="A66" s="2338" t="s">
        <v>1011</v>
      </c>
      <c r="B66" s="2355">
        <f t="shared" ref="B66:C68" si="209">B67+(B$65-B$69)*I66/SUM(I$65:I$68)</f>
        <v>149.00125628140702</v>
      </c>
      <c r="C66" s="2355">
        <f t="shared" si="209"/>
        <v>137.95592286501378</v>
      </c>
      <c r="D66" s="2355">
        <f t="shared" si="183"/>
        <v>137.95592286501378</v>
      </c>
      <c r="E66" s="2355">
        <f t="shared" ref="E66:F68" si="210">E67+(E$65-E$69)*K66/SUM(K$65:K$68)</f>
        <v>169.97231450719823</v>
      </c>
      <c r="F66" s="2355">
        <f t="shared" si="210"/>
        <v>116.21390374331551</v>
      </c>
      <c r="G66" s="3709">
        <v>2006</v>
      </c>
      <c r="H66" s="2368">
        <v>3</v>
      </c>
      <c r="I66" s="2368">
        <v>0.92</v>
      </c>
      <c r="J66" s="2368">
        <v>1.08</v>
      </c>
      <c r="K66" s="2368">
        <v>0.73</v>
      </c>
      <c r="L66" s="2369">
        <v>1.08</v>
      </c>
      <c r="N66" s="2403">
        <f t="shared" si="207"/>
        <v>1.7587939698492462E-2</v>
      </c>
      <c r="O66" s="2404">
        <f t="shared" si="207"/>
        <v>1.1355750425840628E-2</v>
      </c>
      <c r="P66" s="2404">
        <f t="shared" si="208"/>
        <v>2.0862358446754544E-2</v>
      </c>
      <c r="Q66" s="2404">
        <f t="shared" si="208"/>
        <v>1.0132282578103011E-2</v>
      </c>
      <c r="R66" s="2352"/>
      <c r="S66" s="2356"/>
      <c r="T66" s="2325"/>
      <c r="U66" s="2325"/>
      <c r="V66" s="2325"/>
      <c r="X66" s="2405"/>
      <c r="Y66" s="2405"/>
      <c r="Z66" s="2405"/>
    </row>
    <row r="67" spans="1:26">
      <c r="A67" s="2338" t="s">
        <v>1012</v>
      </c>
      <c r="B67" s="2355">
        <f t="shared" si="209"/>
        <v>146.57412060301507</v>
      </c>
      <c r="C67" s="2355">
        <f t="shared" si="209"/>
        <v>136.46831955922866</v>
      </c>
      <c r="D67" s="2355">
        <f t="shared" si="183"/>
        <v>136.46831955922866</v>
      </c>
      <c r="E67" s="2355">
        <f t="shared" si="210"/>
        <v>166.73864894795128</v>
      </c>
      <c r="F67" s="2355">
        <f t="shared" si="210"/>
        <v>115.05882352941177</v>
      </c>
      <c r="G67" s="3709">
        <v>2006</v>
      </c>
      <c r="H67" s="2358">
        <v>2</v>
      </c>
      <c r="I67" s="2358">
        <v>0.96</v>
      </c>
      <c r="J67" s="2358">
        <v>0.25</v>
      </c>
      <c r="K67" s="2358">
        <v>1.9</v>
      </c>
      <c r="L67" s="2359">
        <v>0.95</v>
      </c>
      <c r="N67" s="2403">
        <f t="shared" si="207"/>
        <v>1.8352632728861701E-2</v>
      </c>
      <c r="O67" s="2404">
        <f t="shared" si="207"/>
        <v>2.6286459319075526E-3</v>
      </c>
      <c r="P67" s="2404">
        <f t="shared" si="208"/>
        <v>5.4299289107991269E-2</v>
      </c>
      <c r="Q67" s="2404">
        <f t="shared" si="208"/>
        <v>8.9126559714794995E-3</v>
      </c>
      <c r="R67" s="2352"/>
      <c r="S67" s="2356"/>
      <c r="T67" s="2325"/>
      <c r="U67" s="2325"/>
      <c r="V67" s="2325"/>
      <c r="X67" s="2405"/>
      <c r="Y67" s="2405"/>
      <c r="Z67" s="2405"/>
    </row>
    <row r="68" spans="1:26">
      <c r="A68" s="2338" t="s">
        <v>1013</v>
      </c>
      <c r="B68" s="2355">
        <f t="shared" si="209"/>
        <v>144.04145728643215</v>
      </c>
      <c r="C68" s="2355">
        <f t="shared" si="209"/>
        <v>136.12396694214877</v>
      </c>
      <c r="D68" s="2355">
        <f t="shared" si="183"/>
        <v>136.12396694214877</v>
      </c>
      <c r="E68" s="2355">
        <f t="shared" si="210"/>
        <v>158.32225913621264</v>
      </c>
      <c r="F68" s="2355">
        <f t="shared" si="210"/>
        <v>114.04278074866311</v>
      </c>
      <c r="G68" s="3710">
        <v>2006</v>
      </c>
      <c r="H68" s="2340">
        <v>1</v>
      </c>
      <c r="I68" s="2340">
        <v>2.29</v>
      </c>
      <c r="J68" s="2340">
        <v>3.72</v>
      </c>
      <c r="K68" s="2340">
        <v>0.75</v>
      </c>
      <c r="L68" s="2341">
        <v>0.04</v>
      </c>
      <c r="N68" s="2406">
        <f t="shared" si="207"/>
        <v>4.3778675988638847E-2</v>
      </c>
      <c r="O68" s="2407">
        <f t="shared" si="207"/>
        <v>3.9114251466784385E-2</v>
      </c>
      <c r="P68" s="2407">
        <f t="shared" si="208"/>
        <v>2.1433929911049188E-2</v>
      </c>
      <c r="Q68" s="2407">
        <f t="shared" si="208"/>
        <v>3.7526972511492629E-4</v>
      </c>
      <c r="R68" s="2352"/>
      <c r="S68" s="2360">
        <f>B68/B69-1</f>
        <v>4.3778675988638716E-2</v>
      </c>
      <c r="T68" s="2361">
        <f>C68/C69-1</f>
        <v>3.91142514667846E-2</v>
      </c>
      <c r="U68" s="2361">
        <f>E68/E69-1</f>
        <v>2.143392991104931E-2</v>
      </c>
      <c r="V68" s="2361">
        <f>F68/F69-1</f>
        <v>3.7526972511492396E-4</v>
      </c>
      <c r="X68" s="2405"/>
      <c r="Y68" s="2405"/>
      <c r="Z68" s="2405"/>
    </row>
    <row r="69" spans="1:26" ht="13.5" thickBot="1">
      <c r="A69" s="2338" t="s">
        <v>1014</v>
      </c>
      <c r="B69" s="2370">
        <v>138</v>
      </c>
      <c r="C69" s="2370">
        <v>131</v>
      </c>
      <c r="D69" s="2370">
        <f t="shared" si="183"/>
        <v>131</v>
      </c>
      <c r="E69" s="2370">
        <v>155</v>
      </c>
      <c r="F69" s="2371">
        <v>114</v>
      </c>
      <c r="G69" s="3708">
        <v>2005</v>
      </c>
      <c r="H69" s="2365">
        <v>4</v>
      </c>
      <c r="I69" s="2365">
        <v>3.29</v>
      </c>
      <c r="J69" s="2365">
        <v>1.44</v>
      </c>
      <c r="K69" s="2365">
        <v>0.66</v>
      </c>
      <c r="L69" s="2366">
        <v>7.78</v>
      </c>
      <c r="N69" s="2403">
        <f t="shared" ref="N69:O72" si="211">I69/SUM(I$69:I$72)*(B$69/B$73-1)</f>
        <v>9.9404603216919935E-2</v>
      </c>
      <c r="O69" s="2404">
        <f t="shared" si="211"/>
        <v>4.7636550760861554E-2</v>
      </c>
      <c r="P69" s="2404">
        <f t="shared" ref="P69:Q72" si="212">K69/SUM(K$69:K$72)*(E$69/E$73-1)</f>
        <v>8.3756345177664976E-2</v>
      </c>
      <c r="Q69" s="2404">
        <f t="shared" si="212"/>
        <v>5.2148766661559584E-2</v>
      </c>
      <c r="R69" s="2352"/>
      <c r="S69" s="2353"/>
      <c r="T69" s="2354"/>
      <c r="U69" s="2354"/>
      <c r="V69" s="2354"/>
      <c r="X69" s="2405"/>
      <c r="Y69" s="2405"/>
      <c r="Z69" s="2405"/>
    </row>
    <row r="70" spans="1:26">
      <c r="A70" s="2338" t="s">
        <v>1015</v>
      </c>
      <c r="B70" s="2355">
        <f t="shared" ref="B70:C72" si="213">B71+(B$69-B$73)*I70/SUM(I$69:I$72)</f>
        <v>125.9720430107527</v>
      </c>
      <c r="C70" s="2355">
        <f t="shared" si="213"/>
        <v>125.1883408071749</v>
      </c>
      <c r="D70" s="2355">
        <f t="shared" si="183"/>
        <v>125.1883408071749</v>
      </c>
      <c r="E70" s="2355">
        <f t="shared" ref="E70:F72" si="214">E71+(E$69-E$73)*K70/SUM(K$69:K$72)</f>
        <v>144.61421319796952</v>
      </c>
      <c r="F70" s="2355">
        <f t="shared" si="214"/>
        <v>108.42008196721311</v>
      </c>
      <c r="G70" s="3709">
        <v>2005</v>
      </c>
      <c r="H70" s="2368">
        <v>3</v>
      </c>
      <c r="I70" s="2368">
        <v>0.46</v>
      </c>
      <c r="J70" s="2368">
        <v>0.32</v>
      </c>
      <c r="K70" s="2368">
        <v>0.42</v>
      </c>
      <c r="L70" s="2369">
        <v>0.64</v>
      </c>
      <c r="N70" s="2403">
        <f t="shared" si="211"/>
        <v>1.3898515951301874E-2</v>
      </c>
      <c r="O70" s="2404">
        <f t="shared" si="211"/>
        <v>1.0585900169080346E-2</v>
      </c>
      <c r="P70" s="2404">
        <f t="shared" si="212"/>
        <v>5.3299492385786795E-2</v>
      </c>
      <c r="Q70" s="2404">
        <f t="shared" si="212"/>
        <v>4.2898728359123568E-3</v>
      </c>
      <c r="R70" s="2352"/>
      <c r="S70" s="2356"/>
      <c r="T70" s="2325"/>
      <c r="U70" s="2325"/>
      <c r="V70" s="2325"/>
      <c r="X70" s="2405"/>
      <c r="Y70" s="2405"/>
      <c r="Z70" s="2405"/>
    </row>
    <row r="71" spans="1:26">
      <c r="A71" s="2338" t="s">
        <v>1016</v>
      </c>
      <c r="B71" s="2355">
        <f t="shared" si="213"/>
        <v>124.29032258064517</v>
      </c>
      <c r="C71" s="2355">
        <f t="shared" si="213"/>
        <v>123.8968609865471</v>
      </c>
      <c r="D71" s="2355">
        <f t="shared" si="183"/>
        <v>123.8968609865471</v>
      </c>
      <c r="E71" s="2355">
        <f t="shared" si="214"/>
        <v>138.00507614213197</v>
      </c>
      <c r="F71" s="2355">
        <f t="shared" si="214"/>
        <v>107.96106557377048</v>
      </c>
      <c r="G71" s="3709">
        <v>2005</v>
      </c>
      <c r="H71" s="2358">
        <v>2</v>
      </c>
      <c r="I71" s="2358">
        <v>0.47</v>
      </c>
      <c r="J71" s="2358">
        <v>0.1</v>
      </c>
      <c r="K71" s="2358">
        <v>0.52</v>
      </c>
      <c r="L71" s="2359">
        <v>0.79</v>
      </c>
      <c r="N71" s="2403">
        <f t="shared" si="211"/>
        <v>1.420065760241713E-2</v>
      </c>
      <c r="O71" s="2404">
        <f t="shared" si="211"/>
        <v>3.3080938028376083E-3</v>
      </c>
      <c r="P71" s="2404">
        <f t="shared" si="212"/>
        <v>6.598984771573603E-2</v>
      </c>
      <c r="Q71" s="2404">
        <f t="shared" si="212"/>
        <v>5.2953117818293153E-3</v>
      </c>
      <c r="R71" s="2352"/>
      <c r="S71" s="2356"/>
      <c r="T71" s="2325"/>
      <c r="U71" s="2325"/>
      <c r="V71" s="2325"/>
      <c r="X71" s="2405"/>
      <c r="Y71" s="2405"/>
      <c r="Z71" s="2405"/>
    </row>
    <row r="72" spans="1:26">
      <c r="A72" s="2338" t="s">
        <v>1017</v>
      </c>
      <c r="B72" s="2355">
        <f t="shared" si="213"/>
        <v>122.57204301075269</v>
      </c>
      <c r="C72" s="2355">
        <f t="shared" si="213"/>
        <v>123.4932735426009</v>
      </c>
      <c r="D72" s="2355">
        <f t="shared" si="183"/>
        <v>123.4932735426009</v>
      </c>
      <c r="E72" s="2355">
        <f t="shared" si="214"/>
        <v>129.82233502538071</v>
      </c>
      <c r="F72" s="2355">
        <f t="shared" si="214"/>
        <v>107.39446721311475</v>
      </c>
      <c r="G72" s="3710">
        <v>2005</v>
      </c>
      <c r="H72" s="2340">
        <v>1</v>
      </c>
      <c r="I72" s="2340">
        <v>0.43</v>
      </c>
      <c r="J72" s="2340">
        <v>0.37</v>
      </c>
      <c r="K72" s="2340">
        <v>0.37</v>
      </c>
      <c r="L72" s="2341">
        <v>0.55000000000000004</v>
      </c>
      <c r="N72" s="2406">
        <f t="shared" si="211"/>
        <v>1.2992090997956099E-2</v>
      </c>
      <c r="O72" s="2407">
        <f t="shared" si="211"/>
        <v>1.2239947070499151E-2</v>
      </c>
      <c r="P72" s="2407">
        <f t="shared" si="212"/>
        <v>4.6954314720812178E-2</v>
      </c>
      <c r="Q72" s="2407">
        <f t="shared" si="212"/>
        <v>3.6866094683621815E-3</v>
      </c>
      <c r="R72" s="2352"/>
      <c r="S72" s="2360">
        <f>B72/B73-1</f>
        <v>1.2992090997956174E-2</v>
      </c>
      <c r="T72" s="2361">
        <f>C72/C73-1</f>
        <v>1.2239947070499246E-2</v>
      </c>
      <c r="U72" s="2361">
        <f>E72/E73-1</f>
        <v>4.695431472081224E-2</v>
      </c>
      <c r="V72" s="2361">
        <f>F72/F73-1</f>
        <v>3.6866094683620787E-3</v>
      </c>
      <c r="X72" s="2405"/>
      <c r="Y72" s="2405"/>
      <c r="Z72" s="2405"/>
    </row>
    <row r="73" spans="1:26" ht="13.5" thickBot="1">
      <c r="A73" s="2338" t="s">
        <v>1018</v>
      </c>
      <c r="B73" s="2391">
        <v>121</v>
      </c>
      <c r="C73" s="2391">
        <v>122</v>
      </c>
      <c r="D73" s="2391">
        <f t="shared" si="183"/>
        <v>122</v>
      </c>
      <c r="E73" s="2391">
        <v>124</v>
      </c>
      <c r="F73" s="2392">
        <v>107</v>
      </c>
      <c r="G73" s="3708">
        <v>2004</v>
      </c>
      <c r="H73" s="2365">
        <v>4</v>
      </c>
      <c r="I73" s="2365">
        <v>0.33</v>
      </c>
      <c r="J73" s="2365">
        <v>0.5</v>
      </c>
      <c r="K73" s="2365">
        <v>0.5</v>
      </c>
      <c r="L73" s="2366">
        <v>0</v>
      </c>
      <c r="N73" s="2403">
        <f t="shared" ref="N73:O76" si="215">I73/SUM(I$73:I$76)*(B$73/B$77-1)</f>
        <v>1.3391770148526898E-2</v>
      </c>
      <c r="O73" s="2404">
        <f t="shared" si="215"/>
        <v>1.063264221158958E-2</v>
      </c>
      <c r="P73" s="2404">
        <f t="shared" ref="P73:Q76" si="216">K73/SUM(K$73:K$76)*(E$73/E$77-1)</f>
        <v>2.2244466688911134E-2</v>
      </c>
      <c r="Q73" s="2404">
        <f t="shared" si="216"/>
        <v>0</v>
      </c>
      <c r="R73" s="2352"/>
      <c r="S73" s="2353"/>
      <c r="T73" s="2354"/>
      <c r="U73" s="2354"/>
      <c r="V73" s="2354"/>
      <c r="X73" s="2405"/>
      <c r="Y73" s="2405"/>
      <c r="Z73" s="2405"/>
    </row>
    <row r="74" spans="1:26">
      <c r="A74" s="2338" t="s">
        <v>1019</v>
      </c>
      <c r="B74" s="2355">
        <f t="shared" ref="B74:C76" si="217">B75+(B$73-B$77)*I74/SUM(I$73:I$76)</f>
        <v>119.51351351351352</v>
      </c>
      <c r="C74" s="2355">
        <f t="shared" si="217"/>
        <v>120.7878787878788</v>
      </c>
      <c r="D74" s="2355">
        <f t="shared" si="183"/>
        <v>120.7878787878788</v>
      </c>
      <c r="E74" s="2355">
        <f t="shared" ref="E74:F76" si="218">E75+(E$73-E$77)*K74/SUM(K$73:K$76)</f>
        <v>121.5975975975976</v>
      </c>
      <c r="F74" s="2355">
        <f t="shared" si="218"/>
        <v>107</v>
      </c>
      <c r="G74" s="3709">
        <v>2004</v>
      </c>
      <c r="H74" s="2368">
        <v>3</v>
      </c>
      <c r="I74" s="2368">
        <v>0.56000000000000005</v>
      </c>
      <c r="J74" s="2368">
        <v>0.8</v>
      </c>
      <c r="K74" s="2368">
        <v>0.83</v>
      </c>
      <c r="L74" s="2369">
        <v>0.06</v>
      </c>
      <c r="N74" s="2403">
        <f t="shared" si="215"/>
        <v>2.2725428130833527E-2</v>
      </c>
      <c r="O74" s="2404">
        <f t="shared" si="215"/>
        <v>1.7012227538543329E-2</v>
      </c>
      <c r="P74" s="2404">
        <f t="shared" si="216"/>
        <v>3.6925814703592477E-2</v>
      </c>
      <c r="Q74" s="2404">
        <f t="shared" si="216"/>
        <v>2.8846153846153744E-2</v>
      </c>
      <c r="R74" s="2352"/>
      <c r="S74" s="2356"/>
      <c r="T74" s="2325"/>
      <c r="U74" s="2325"/>
      <c r="V74" s="2325"/>
      <c r="X74" s="2405"/>
      <c r="Y74" s="2405"/>
      <c r="Z74" s="2405"/>
    </row>
    <row r="75" spans="1:26">
      <c r="A75" s="2338" t="s">
        <v>1020</v>
      </c>
      <c r="B75" s="2355">
        <f t="shared" si="217"/>
        <v>116.99099099099099</v>
      </c>
      <c r="C75" s="2355">
        <f t="shared" si="217"/>
        <v>118.84848484848486</v>
      </c>
      <c r="D75" s="2355">
        <f t="shared" si="183"/>
        <v>118.84848484848486</v>
      </c>
      <c r="E75" s="2355">
        <f t="shared" si="218"/>
        <v>117.60960960960961</v>
      </c>
      <c r="F75" s="2355">
        <f t="shared" si="218"/>
        <v>104</v>
      </c>
      <c r="G75" s="3709">
        <v>2004</v>
      </c>
      <c r="H75" s="2358">
        <v>2</v>
      </c>
      <c r="I75" s="2358">
        <v>1</v>
      </c>
      <c r="J75" s="2358">
        <v>1.5</v>
      </c>
      <c r="K75" s="2358">
        <v>1.5</v>
      </c>
      <c r="L75" s="2359">
        <v>0</v>
      </c>
      <c r="N75" s="2403">
        <f t="shared" si="215"/>
        <v>4.0581121662202721E-2</v>
      </c>
      <c r="O75" s="2404">
        <f t="shared" si="215"/>
        <v>3.1897926634768738E-2</v>
      </c>
      <c r="P75" s="2404">
        <f t="shared" si="216"/>
        <v>6.6733400066733395E-2</v>
      </c>
      <c r="Q75" s="2404">
        <f t="shared" si="216"/>
        <v>0</v>
      </c>
      <c r="R75" s="2352"/>
      <c r="S75" s="2356"/>
      <c r="T75" s="2325"/>
      <c r="U75" s="2325"/>
      <c r="V75" s="2325"/>
      <c r="X75" s="2405"/>
      <c r="Y75" s="2405"/>
      <c r="Z75" s="2405"/>
    </row>
    <row r="76" spans="1:26" s="2397" customFormat="1" ht="13.5" thickBot="1">
      <c r="A76" s="2338" t="s">
        <v>1021</v>
      </c>
      <c r="B76" s="2394">
        <f t="shared" si="217"/>
        <v>112.48648648648648</v>
      </c>
      <c r="C76" s="2394">
        <f t="shared" si="217"/>
        <v>115.21212121212122</v>
      </c>
      <c r="D76" s="2394">
        <f t="shared" si="183"/>
        <v>115.21212121212122</v>
      </c>
      <c r="E76" s="2394">
        <f t="shared" si="218"/>
        <v>110.4024024024024</v>
      </c>
      <c r="F76" s="2394">
        <f t="shared" si="218"/>
        <v>104</v>
      </c>
      <c r="G76" s="3710">
        <v>2004</v>
      </c>
      <c r="H76" s="2395">
        <v>1</v>
      </c>
      <c r="I76" s="2395">
        <v>0.33</v>
      </c>
      <c r="J76" s="2395">
        <v>0.5</v>
      </c>
      <c r="K76" s="2395">
        <v>0.5</v>
      </c>
      <c r="L76" s="2396">
        <v>0</v>
      </c>
      <c r="N76" s="2408">
        <f t="shared" si="215"/>
        <v>1.3391770148526898E-2</v>
      </c>
      <c r="O76" s="2409">
        <f t="shared" si="215"/>
        <v>1.063264221158958E-2</v>
      </c>
      <c r="P76" s="2409">
        <f t="shared" si="216"/>
        <v>2.2244466688911134E-2</v>
      </c>
      <c r="Q76" s="2409">
        <f t="shared" si="216"/>
        <v>0</v>
      </c>
      <c r="R76" s="2400"/>
      <c r="S76" s="2398">
        <f>B76/B77-1</f>
        <v>1.3391770148526883E-2</v>
      </c>
      <c r="T76" s="2399">
        <f>C76/C77-1</f>
        <v>1.063264221158966E-2</v>
      </c>
      <c r="U76" s="2399">
        <f>E76/E77-1</f>
        <v>2.2244466688911224E-2</v>
      </c>
      <c r="V76" s="2399">
        <f>F76/F77-1</f>
        <v>0</v>
      </c>
      <c r="X76" s="2410"/>
      <c r="Y76" s="2410"/>
      <c r="Z76" s="2410"/>
    </row>
    <row r="77" spans="1:26" ht="13.5" thickBot="1">
      <c r="A77" s="2338" t="s">
        <v>1022</v>
      </c>
      <c r="B77" s="2411">
        <v>111</v>
      </c>
      <c r="C77" s="2411">
        <v>114</v>
      </c>
      <c r="D77" s="2411">
        <f t="shared" si="183"/>
        <v>114</v>
      </c>
      <c r="E77" s="2411">
        <v>108</v>
      </c>
      <c r="F77" s="2412">
        <v>104</v>
      </c>
      <c r="G77" s="3708">
        <v>2003</v>
      </c>
      <c r="H77" s="2401">
        <v>4</v>
      </c>
      <c r="I77" s="2413"/>
      <c r="J77" s="2413"/>
      <c r="K77" s="2413"/>
      <c r="L77" s="2413"/>
      <c r="N77" s="2414"/>
      <c r="O77" s="2413"/>
      <c r="P77" s="2413"/>
      <c r="Q77" s="2413"/>
      <c r="S77" s="2414"/>
      <c r="T77" s="2413"/>
      <c r="U77" s="2413"/>
      <c r="V77" s="2413"/>
      <c r="X77" s="2405"/>
      <c r="Y77" s="2405"/>
      <c r="Z77" s="2405"/>
    </row>
    <row r="78" spans="1:26">
      <c r="A78" s="2338" t="s">
        <v>1023</v>
      </c>
      <c r="B78" s="2415">
        <f t="shared" ref="B78:C80" si="219">B79+(B$77-B$81)/4</f>
        <v>109.75</v>
      </c>
      <c r="C78" s="2415">
        <f t="shared" si="219"/>
        <v>112.25</v>
      </c>
      <c r="D78" s="2415">
        <f t="shared" si="183"/>
        <v>112.25</v>
      </c>
      <c r="E78" s="2415">
        <f t="shared" ref="E78:F80" si="220">E79+(E$77-E$81)/4</f>
        <v>107.25</v>
      </c>
      <c r="F78" s="2415">
        <f t="shared" si="220"/>
        <v>103.5</v>
      </c>
      <c r="G78" s="3709">
        <v>2003</v>
      </c>
      <c r="H78" s="2368">
        <v>3</v>
      </c>
      <c r="I78" s="2413"/>
      <c r="J78" s="2413"/>
      <c r="K78" s="2413"/>
      <c r="L78" s="2413"/>
      <c r="X78" s="2405"/>
      <c r="Y78" s="2405"/>
      <c r="Z78" s="2405"/>
    </row>
    <row r="79" spans="1:26">
      <c r="A79" s="2338" t="s">
        <v>1024</v>
      </c>
      <c r="B79" s="2415">
        <f t="shared" si="219"/>
        <v>108.5</v>
      </c>
      <c r="C79" s="2415">
        <f t="shared" si="219"/>
        <v>110.5</v>
      </c>
      <c r="D79" s="2415">
        <f t="shared" si="183"/>
        <v>110.5</v>
      </c>
      <c r="E79" s="2415">
        <f t="shared" si="220"/>
        <v>106.5</v>
      </c>
      <c r="F79" s="2415">
        <f t="shared" si="220"/>
        <v>103</v>
      </c>
      <c r="G79" s="3709">
        <v>2003</v>
      </c>
      <c r="H79" s="2358">
        <v>2</v>
      </c>
      <c r="I79" s="2413"/>
      <c r="J79" s="2413"/>
      <c r="K79" s="2413"/>
      <c r="L79" s="2413"/>
      <c r="X79" s="2405"/>
      <c r="Y79" s="2405"/>
      <c r="Z79" s="2405"/>
    </row>
    <row r="80" spans="1:26" ht="13.5" thickBot="1">
      <c r="A80" s="2338" t="s">
        <v>1025</v>
      </c>
      <c r="B80" s="2415">
        <f t="shared" si="219"/>
        <v>107.25</v>
      </c>
      <c r="C80" s="2415">
        <f t="shared" si="219"/>
        <v>108.75</v>
      </c>
      <c r="D80" s="2415">
        <f t="shared" si="183"/>
        <v>108.75</v>
      </c>
      <c r="E80" s="2415">
        <f t="shared" si="220"/>
        <v>105.75</v>
      </c>
      <c r="F80" s="2415">
        <f t="shared" si="220"/>
        <v>102.5</v>
      </c>
      <c r="G80" s="3710">
        <v>2003</v>
      </c>
      <c r="H80" s="2416">
        <v>1</v>
      </c>
      <c r="I80" s="2413"/>
      <c r="J80" s="2413"/>
      <c r="K80" s="2413"/>
      <c r="L80" s="2413"/>
      <c r="S80" s="2356"/>
      <c r="T80" s="2325"/>
      <c r="U80" s="2325"/>
      <c r="X80" s="2405"/>
      <c r="Y80" s="2405"/>
      <c r="Z80" s="2405"/>
    </row>
    <row r="81" spans="1:26" ht="13.5" thickBot="1">
      <c r="A81" s="2338" t="s">
        <v>1026</v>
      </c>
      <c r="B81" s="2417">
        <v>106</v>
      </c>
      <c r="C81" s="2417">
        <v>107</v>
      </c>
      <c r="D81" s="2417">
        <f t="shared" si="183"/>
        <v>107</v>
      </c>
      <c r="E81" s="2417">
        <v>105</v>
      </c>
      <c r="F81" s="2418">
        <v>102</v>
      </c>
      <c r="G81" s="3708">
        <v>2002</v>
      </c>
      <c r="H81" s="2365">
        <v>4</v>
      </c>
      <c r="I81" s="2413"/>
      <c r="J81" s="2413"/>
      <c r="K81" s="2413"/>
      <c r="L81" s="2413"/>
      <c r="N81" s="2414"/>
      <c r="O81" s="2413"/>
      <c r="P81" s="2413"/>
      <c r="Q81" s="2413"/>
      <c r="S81" s="2414"/>
      <c r="T81" s="2413"/>
      <c r="U81" s="2413"/>
      <c r="V81" s="2413"/>
      <c r="X81" s="2405"/>
      <c r="Y81" s="2405"/>
      <c r="Z81" s="2405"/>
    </row>
    <row r="82" spans="1:26">
      <c r="A82" s="2338" t="s">
        <v>1027</v>
      </c>
      <c r="B82" s="2415">
        <f t="shared" ref="B82:C84" si="221">B83+(B$81-B$85)/4</f>
        <v>105</v>
      </c>
      <c r="C82" s="2415">
        <f t="shared" si="221"/>
        <v>106</v>
      </c>
      <c r="D82" s="2415">
        <f t="shared" si="183"/>
        <v>106</v>
      </c>
      <c r="E82" s="2415">
        <f t="shared" ref="E82:F84" si="222">E83+(E$81-E$85)/4</f>
        <v>104.5</v>
      </c>
      <c r="F82" s="2415">
        <f t="shared" si="222"/>
        <v>101.5</v>
      </c>
      <c r="G82" s="3709">
        <v>2002</v>
      </c>
      <c r="H82" s="2368">
        <v>3</v>
      </c>
      <c r="I82" s="2413"/>
      <c r="J82" s="2413"/>
      <c r="K82" s="2413"/>
      <c r="L82" s="2413"/>
      <c r="X82" s="2405"/>
      <c r="Y82" s="2405"/>
      <c r="Z82" s="2405"/>
    </row>
    <row r="83" spans="1:26">
      <c r="A83" s="2338" t="s">
        <v>1028</v>
      </c>
      <c r="B83" s="2415">
        <f t="shared" si="221"/>
        <v>104</v>
      </c>
      <c r="C83" s="2415">
        <f t="shared" si="221"/>
        <v>105</v>
      </c>
      <c r="D83" s="2415">
        <f t="shared" si="183"/>
        <v>105</v>
      </c>
      <c r="E83" s="2415">
        <f t="shared" si="222"/>
        <v>104</v>
      </c>
      <c r="F83" s="2415">
        <f t="shared" si="222"/>
        <v>101</v>
      </c>
      <c r="G83" s="3709">
        <v>2002</v>
      </c>
      <c r="H83" s="2358">
        <v>2</v>
      </c>
      <c r="I83" s="2413"/>
      <c r="J83" s="2413"/>
      <c r="K83" s="2413"/>
      <c r="L83" s="2413"/>
      <c r="X83" s="2405"/>
      <c r="Y83" s="2405"/>
      <c r="Z83" s="2405"/>
    </row>
    <row r="84" spans="1:26" s="2378" customFormat="1" ht="13.5" thickBot="1">
      <c r="A84" s="2374" t="s">
        <v>1029</v>
      </c>
      <c r="B84" s="2381">
        <f t="shared" si="221"/>
        <v>103</v>
      </c>
      <c r="C84" s="2381">
        <f t="shared" si="221"/>
        <v>104</v>
      </c>
      <c r="D84" s="2381">
        <f t="shared" si="183"/>
        <v>104</v>
      </c>
      <c r="E84" s="2381">
        <f t="shared" si="222"/>
        <v>103.5</v>
      </c>
      <c r="F84" s="2381">
        <f t="shared" si="222"/>
        <v>100.5</v>
      </c>
      <c r="G84" s="3710">
        <v>2002</v>
      </c>
      <c r="H84" s="2419">
        <v>1</v>
      </c>
      <c r="I84" s="2420"/>
      <c r="J84" s="2420"/>
      <c r="K84" s="2420"/>
      <c r="L84" s="2420"/>
      <c r="N84" s="2421"/>
      <c r="S84" s="2421"/>
      <c r="X84" s="2422"/>
      <c r="Y84" s="2422"/>
      <c r="Z84" s="2422"/>
    </row>
    <row r="85" spans="1:26" ht="13.5" thickBot="1">
      <c r="B85" s="2423">
        <v>102</v>
      </c>
      <c r="C85" s="2424">
        <v>103</v>
      </c>
      <c r="D85" s="2424">
        <f t="shared" si="183"/>
        <v>103</v>
      </c>
      <c r="E85" s="2424">
        <v>103</v>
      </c>
      <c r="F85" s="2425">
        <v>100</v>
      </c>
      <c r="I85" s="2413"/>
      <c r="J85" s="2413"/>
      <c r="K85" s="2413"/>
      <c r="L85" s="2413"/>
      <c r="N85" s="2414"/>
      <c r="O85" s="2413"/>
      <c r="P85" s="2413"/>
      <c r="Q85" s="2413"/>
      <c r="S85" s="2414"/>
      <c r="T85" s="2413"/>
      <c r="U85" s="2413"/>
      <c r="V85" s="2413"/>
      <c r="X85" s="2354"/>
      <c r="Y85" s="2354"/>
      <c r="Z85" s="2354"/>
    </row>
    <row r="87" spans="1:26" s="2427" customFormat="1">
      <c r="A87" s="2426" t="s">
        <v>1030</v>
      </c>
      <c r="G87" s="2428"/>
      <c r="N87" s="2428"/>
      <c r="S87" s="2428"/>
    </row>
    <row r="88" spans="1:26" s="2427" customFormat="1">
      <c r="A88" s="2427" t="s">
        <v>1031</v>
      </c>
      <c r="G88" s="2428"/>
      <c r="N88" s="2428"/>
      <c r="S88" s="2428"/>
    </row>
    <row r="89" spans="1:26" s="2427" customFormat="1">
      <c r="A89" s="2427" t="s">
        <v>1032</v>
      </c>
      <c r="G89" s="2428"/>
      <c r="I89" s="2429"/>
      <c r="J89" s="2429"/>
      <c r="K89" s="2429"/>
      <c r="L89" s="2429"/>
      <c r="N89" s="2430"/>
      <c r="O89" s="2429"/>
      <c r="P89" s="2429"/>
      <c r="Q89" s="2429"/>
      <c r="S89" s="2430"/>
      <c r="T89" s="2429"/>
      <c r="U89" s="2429"/>
      <c r="V89" s="2429"/>
    </row>
    <row r="90" spans="1:26" s="2427" customFormat="1">
      <c r="A90" s="2427" t="s">
        <v>1033</v>
      </c>
      <c r="G90" s="2428"/>
      <c r="N90" s="2428"/>
      <c r="S90" s="2428"/>
    </row>
    <row r="97" spans="7:22" ht="13.5" thickBot="1"/>
    <row r="98" spans="7:22">
      <c r="G98" s="2324"/>
      <c r="S98" s="2431" t="s">
        <v>1034</v>
      </c>
      <c r="T98" s="2432" t="s">
        <v>1035</v>
      </c>
      <c r="U98" s="2432" t="s">
        <v>1036</v>
      </c>
      <c r="V98" s="2432" t="s">
        <v>1037</v>
      </c>
    </row>
    <row r="99" spans="7:22">
      <c r="G99" s="2324"/>
      <c r="N99" s="2353"/>
      <c r="O99" s="2354"/>
      <c r="P99" s="2354"/>
      <c r="Q99" s="2354"/>
      <c r="S99" s="2433">
        <v>2006</v>
      </c>
      <c r="T99" s="2434">
        <v>15.1</v>
      </c>
      <c r="U99" s="2434">
        <v>7.43</v>
      </c>
      <c r="V99" s="2434">
        <v>26.26</v>
      </c>
    </row>
    <row r="100" spans="7:22">
      <c r="G100" s="2324"/>
      <c r="N100" s="2353"/>
      <c r="O100" s="2354"/>
      <c r="P100" s="2354"/>
      <c r="Q100" s="2354"/>
      <c r="S100" s="2435">
        <v>2005</v>
      </c>
      <c r="T100" s="2436">
        <v>13.9</v>
      </c>
      <c r="U100" s="2436">
        <v>7.49</v>
      </c>
      <c r="V100" s="2436">
        <v>24.92</v>
      </c>
    </row>
    <row r="101" spans="7:22">
      <c r="G101" s="2324"/>
      <c r="N101" s="2353"/>
      <c r="O101" s="2354"/>
      <c r="P101" s="2354"/>
      <c r="Q101" s="2354"/>
      <c r="S101" s="2433">
        <v>2004</v>
      </c>
      <c r="T101" s="2434">
        <v>9.48</v>
      </c>
      <c r="U101" s="2434">
        <v>7.2</v>
      </c>
      <c r="V101" s="2434">
        <v>14.68</v>
      </c>
    </row>
    <row r="102" spans="7:22">
      <c r="G102" s="2324"/>
      <c r="N102" s="2353"/>
      <c r="O102" s="2354"/>
      <c r="P102" s="2354"/>
      <c r="Q102" s="2354"/>
      <c r="S102" s="2435">
        <v>2003</v>
      </c>
      <c r="T102" s="2436">
        <v>4.5</v>
      </c>
      <c r="U102" s="2436">
        <v>6.12</v>
      </c>
      <c r="V102" s="2436">
        <v>2.34</v>
      </c>
    </row>
    <row r="103" spans="7:22" ht="13.5" thickBot="1">
      <c r="G103" s="2324"/>
      <c r="N103" s="2353"/>
      <c r="O103" s="2354"/>
      <c r="P103" s="2354"/>
      <c r="Q103" s="2354"/>
      <c r="S103" s="2437">
        <v>2002</v>
      </c>
      <c r="T103" s="2438">
        <v>3.59</v>
      </c>
      <c r="U103" s="2438">
        <v>4.54</v>
      </c>
      <c r="V103" s="2438">
        <v>2.5499999999999998</v>
      </c>
    </row>
    <row r="104" spans="7:22">
      <c r="G104" s="2324"/>
      <c r="N104" s="2353"/>
      <c r="O104" s="2354"/>
      <c r="P104" s="2354"/>
      <c r="Q104" s="2354"/>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c r="S114" s="232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7" customWidth="1"/>
    <col min="2" max="2" width="13.25" style="1213" customWidth="1"/>
    <col min="3" max="3" width="15.625" style="1213" customWidth="1"/>
    <col min="4" max="4" width="9.375" style="1213" bestFit="1" customWidth="1"/>
    <col min="5" max="5" width="13.5" style="1213" customWidth="1"/>
    <col min="6" max="6" width="9" style="1213"/>
    <col min="7" max="7" width="9.375" style="1213" bestFit="1" customWidth="1"/>
    <col min="8" max="8" width="11.5" style="1213" customWidth="1"/>
    <col min="9" max="9" width="9" style="1213"/>
    <col min="10" max="10" width="9.375" style="1213" bestFit="1" customWidth="1"/>
    <col min="11" max="11" width="4" style="1207" customWidth="1"/>
    <col min="12" max="12" width="5.125" style="1213" customWidth="1"/>
    <col min="13" max="13" width="13.75" style="1213" customWidth="1"/>
    <col min="14" max="256" width="9" style="1213"/>
    <col min="257" max="257" width="4.875" style="1204" customWidth="1"/>
    <col min="258" max="258" width="13.25" style="1204" customWidth="1"/>
    <col min="259" max="259" width="15.625" style="1204" customWidth="1"/>
    <col min="260" max="260" width="9.375" style="1204" bestFit="1" customWidth="1"/>
    <col min="261" max="261" width="13.5" style="1204" customWidth="1"/>
    <col min="262" max="262" width="9" style="1204"/>
    <col min="263" max="263" width="9.375" style="1204" bestFit="1" customWidth="1"/>
    <col min="264" max="265" width="9" style="1204"/>
    <col min="266" max="266" width="9.375" style="1204" bestFit="1" customWidth="1"/>
    <col min="267" max="267" width="4" style="1204" customWidth="1"/>
    <col min="268" max="268" width="5.125" style="1204" customWidth="1"/>
    <col min="269" max="269" width="13.75" style="1204" customWidth="1"/>
    <col min="270" max="512" width="9" style="1204"/>
    <col min="513" max="513" width="4.875" style="1204" customWidth="1"/>
    <col min="514" max="514" width="13.25" style="1204" customWidth="1"/>
    <col min="515" max="515" width="15.625" style="1204" customWidth="1"/>
    <col min="516" max="516" width="9.375" style="1204" bestFit="1" customWidth="1"/>
    <col min="517" max="517" width="13.5" style="1204" customWidth="1"/>
    <col min="518" max="518" width="9" style="1204"/>
    <col min="519" max="519" width="9.375" style="1204" bestFit="1" customWidth="1"/>
    <col min="520" max="521" width="9" style="1204"/>
    <col min="522" max="522" width="9.375" style="1204" bestFit="1" customWidth="1"/>
    <col min="523" max="523" width="4" style="1204" customWidth="1"/>
    <col min="524" max="524" width="5.125" style="1204" customWidth="1"/>
    <col min="525" max="525" width="13.75" style="1204" customWidth="1"/>
    <col min="526" max="768" width="9" style="1204"/>
    <col min="769" max="769" width="4.875" style="1204" customWidth="1"/>
    <col min="770" max="770" width="13.25" style="1204" customWidth="1"/>
    <col min="771" max="771" width="15.625" style="1204" customWidth="1"/>
    <col min="772" max="772" width="9.375" style="1204" bestFit="1" customWidth="1"/>
    <col min="773" max="773" width="13.5" style="1204" customWidth="1"/>
    <col min="774" max="774" width="9" style="1204"/>
    <col min="775" max="775" width="9.375" style="1204" bestFit="1" customWidth="1"/>
    <col min="776" max="777" width="9" style="1204"/>
    <col min="778" max="778" width="9.375" style="1204" bestFit="1" customWidth="1"/>
    <col min="779" max="779" width="4" style="1204" customWidth="1"/>
    <col min="780" max="780" width="5.125" style="1204" customWidth="1"/>
    <col min="781" max="781" width="13.75" style="1204" customWidth="1"/>
    <col min="782" max="1024" width="9" style="1204"/>
    <col min="1025" max="1025" width="4.875" style="1204" customWidth="1"/>
    <col min="1026" max="1026" width="13.25" style="1204" customWidth="1"/>
    <col min="1027" max="1027" width="15.625" style="1204" customWidth="1"/>
    <col min="1028" max="1028" width="9.375" style="1204" bestFit="1" customWidth="1"/>
    <col min="1029" max="1029" width="13.5" style="1204" customWidth="1"/>
    <col min="1030" max="1030" width="9" style="1204"/>
    <col min="1031" max="1031" width="9.375" style="1204" bestFit="1" customWidth="1"/>
    <col min="1032" max="1033" width="9" style="1204"/>
    <col min="1034" max="1034" width="9.375" style="1204" bestFit="1" customWidth="1"/>
    <col min="1035" max="1035" width="4" style="1204" customWidth="1"/>
    <col min="1036" max="1036" width="5.125" style="1204" customWidth="1"/>
    <col min="1037" max="1037" width="13.75" style="1204" customWidth="1"/>
    <col min="1038" max="1280" width="9" style="1204"/>
    <col min="1281" max="1281" width="4.875" style="1204" customWidth="1"/>
    <col min="1282" max="1282" width="13.25" style="1204" customWidth="1"/>
    <col min="1283" max="1283" width="15.625" style="1204" customWidth="1"/>
    <col min="1284" max="1284" width="9.375" style="1204" bestFit="1" customWidth="1"/>
    <col min="1285" max="1285" width="13.5" style="1204" customWidth="1"/>
    <col min="1286" max="1286" width="9" style="1204"/>
    <col min="1287" max="1287" width="9.375" style="1204" bestFit="1" customWidth="1"/>
    <col min="1288" max="1289" width="9" style="1204"/>
    <col min="1290" max="1290" width="9.375" style="1204" bestFit="1" customWidth="1"/>
    <col min="1291" max="1291" width="4" style="1204" customWidth="1"/>
    <col min="1292" max="1292" width="5.125" style="1204" customWidth="1"/>
    <col min="1293" max="1293" width="13.75" style="1204" customWidth="1"/>
    <col min="1294" max="1536" width="9" style="1204"/>
    <col min="1537" max="1537" width="4.875" style="1204" customWidth="1"/>
    <col min="1538" max="1538" width="13.25" style="1204" customWidth="1"/>
    <col min="1539" max="1539" width="15.625" style="1204" customWidth="1"/>
    <col min="1540" max="1540" width="9.375" style="1204" bestFit="1" customWidth="1"/>
    <col min="1541" max="1541" width="13.5" style="1204" customWidth="1"/>
    <col min="1542" max="1542" width="9" style="1204"/>
    <col min="1543" max="1543" width="9.375" style="1204" bestFit="1" customWidth="1"/>
    <col min="1544" max="1545" width="9" style="1204"/>
    <col min="1546" max="1546" width="9.375" style="1204" bestFit="1" customWidth="1"/>
    <col min="1547" max="1547" width="4" style="1204" customWidth="1"/>
    <col min="1548" max="1548" width="5.125" style="1204" customWidth="1"/>
    <col min="1549" max="1549" width="13.75" style="1204" customWidth="1"/>
    <col min="1550" max="1792" width="9" style="1204"/>
    <col min="1793" max="1793" width="4.875" style="1204" customWidth="1"/>
    <col min="1794" max="1794" width="13.25" style="1204" customWidth="1"/>
    <col min="1795" max="1795" width="15.625" style="1204" customWidth="1"/>
    <col min="1796" max="1796" width="9.375" style="1204" bestFit="1" customWidth="1"/>
    <col min="1797" max="1797" width="13.5" style="1204" customWidth="1"/>
    <col min="1798" max="1798" width="9" style="1204"/>
    <col min="1799" max="1799" width="9.375" style="1204" bestFit="1" customWidth="1"/>
    <col min="1800" max="1801" width="9" style="1204"/>
    <col min="1802" max="1802" width="9.375" style="1204" bestFit="1" customWidth="1"/>
    <col min="1803" max="1803" width="4" style="1204" customWidth="1"/>
    <col min="1804" max="1804" width="5.125" style="1204" customWidth="1"/>
    <col min="1805" max="1805" width="13.75" style="1204" customWidth="1"/>
    <col min="1806" max="2048" width="9" style="1204"/>
    <col min="2049" max="2049" width="4.875" style="1204" customWidth="1"/>
    <col min="2050" max="2050" width="13.25" style="1204" customWidth="1"/>
    <col min="2051" max="2051" width="15.625" style="1204" customWidth="1"/>
    <col min="2052" max="2052" width="9.375" style="1204" bestFit="1" customWidth="1"/>
    <col min="2053" max="2053" width="13.5" style="1204" customWidth="1"/>
    <col min="2054" max="2054" width="9" style="1204"/>
    <col min="2055" max="2055" width="9.375" style="1204" bestFit="1" customWidth="1"/>
    <col min="2056" max="2057" width="9" style="1204"/>
    <col min="2058" max="2058" width="9.375" style="1204" bestFit="1" customWidth="1"/>
    <col min="2059" max="2059" width="4" style="1204" customWidth="1"/>
    <col min="2060" max="2060" width="5.125" style="1204" customWidth="1"/>
    <col min="2061" max="2061" width="13.75" style="1204" customWidth="1"/>
    <col min="2062" max="2304" width="9" style="1204"/>
    <col min="2305" max="2305" width="4.875" style="1204" customWidth="1"/>
    <col min="2306" max="2306" width="13.25" style="1204" customWidth="1"/>
    <col min="2307" max="2307" width="15.625" style="1204" customWidth="1"/>
    <col min="2308" max="2308" width="9.375" style="1204" bestFit="1" customWidth="1"/>
    <col min="2309" max="2309" width="13.5" style="1204" customWidth="1"/>
    <col min="2310" max="2310" width="9" style="1204"/>
    <col min="2311" max="2311" width="9.375" style="1204" bestFit="1" customWidth="1"/>
    <col min="2312" max="2313" width="9" style="1204"/>
    <col min="2314" max="2314" width="9.375" style="1204" bestFit="1" customWidth="1"/>
    <col min="2315" max="2315" width="4" style="1204" customWidth="1"/>
    <col min="2316" max="2316" width="5.125" style="1204" customWidth="1"/>
    <col min="2317" max="2317" width="13.75" style="1204" customWidth="1"/>
    <col min="2318" max="2560" width="9" style="1204"/>
    <col min="2561" max="2561" width="4.875" style="1204" customWidth="1"/>
    <col min="2562" max="2562" width="13.25" style="1204" customWidth="1"/>
    <col min="2563" max="2563" width="15.625" style="1204" customWidth="1"/>
    <col min="2564" max="2564" width="9.375" style="1204" bestFit="1" customWidth="1"/>
    <col min="2565" max="2565" width="13.5" style="1204" customWidth="1"/>
    <col min="2566" max="2566" width="9" style="1204"/>
    <col min="2567" max="2567" width="9.375" style="1204" bestFit="1" customWidth="1"/>
    <col min="2568" max="2569" width="9" style="1204"/>
    <col min="2570" max="2570" width="9.375" style="1204" bestFit="1" customWidth="1"/>
    <col min="2571" max="2571" width="4" style="1204" customWidth="1"/>
    <col min="2572" max="2572" width="5.125" style="1204" customWidth="1"/>
    <col min="2573" max="2573" width="13.75" style="1204" customWidth="1"/>
    <col min="2574" max="2816" width="9" style="1204"/>
    <col min="2817" max="2817" width="4.875" style="1204" customWidth="1"/>
    <col min="2818" max="2818" width="13.25" style="1204" customWidth="1"/>
    <col min="2819" max="2819" width="15.625" style="1204" customWidth="1"/>
    <col min="2820" max="2820" width="9.375" style="1204" bestFit="1" customWidth="1"/>
    <col min="2821" max="2821" width="13.5" style="1204" customWidth="1"/>
    <col min="2822" max="2822" width="9" style="1204"/>
    <col min="2823" max="2823" width="9.375" style="1204" bestFit="1" customWidth="1"/>
    <col min="2824" max="2825" width="9" style="1204"/>
    <col min="2826" max="2826" width="9.375" style="1204" bestFit="1" customWidth="1"/>
    <col min="2827" max="2827" width="4" style="1204" customWidth="1"/>
    <col min="2828" max="2828" width="5.125" style="1204" customWidth="1"/>
    <col min="2829" max="2829" width="13.75" style="1204" customWidth="1"/>
    <col min="2830" max="3072" width="9" style="1204"/>
    <col min="3073" max="3073" width="4.875" style="1204" customWidth="1"/>
    <col min="3074" max="3074" width="13.25" style="1204" customWidth="1"/>
    <col min="3075" max="3075" width="15.625" style="1204" customWidth="1"/>
    <col min="3076" max="3076" width="9.375" style="1204" bestFit="1" customWidth="1"/>
    <col min="3077" max="3077" width="13.5" style="1204" customWidth="1"/>
    <col min="3078" max="3078" width="9" style="1204"/>
    <col min="3079" max="3079" width="9.375" style="1204" bestFit="1" customWidth="1"/>
    <col min="3080" max="3081" width="9" style="1204"/>
    <col min="3082" max="3082" width="9.375" style="1204" bestFit="1" customWidth="1"/>
    <col min="3083" max="3083" width="4" style="1204" customWidth="1"/>
    <col min="3084" max="3084" width="5.125" style="1204" customWidth="1"/>
    <col min="3085" max="3085" width="13.75" style="1204" customWidth="1"/>
    <col min="3086" max="3328" width="9" style="1204"/>
    <col min="3329" max="3329" width="4.875" style="1204" customWidth="1"/>
    <col min="3330" max="3330" width="13.25" style="1204" customWidth="1"/>
    <col min="3331" max="3331" width="15.625" style="1204" customWidth="1"/>
    <col min="3332" max="3332" width="9.375" style="1204" bestFit="1" customWidth="1"/>
    <col min="3333" max="3333" width="13.5" style="1204" customWidth="1"/>
    <col min="3334" max="3334" width="9" style="1204"/>
    <col min="3335" max="3335" width="9.375" style="1204" bestFit="1" customWidth="1"/>
    <col min="3336" max="3337" width="9" style="1204"/>
    <col min="3338" max="3338" width="9.375" style="1204" bestFit="1" customWidth="1"/>
    <col min="3339" max="3339" width="4" style="1204" customWidth="1"/>
    <col min="3340" max="3340" width="5.125" style="1204" customWidth="1"/>
    <col min="3341" max="3341" width="13.75" style="1204" customWidth="1"/>
    <col min="3342" max="3584" width="9" style="1204"/>
    <col min="3585" max="3585" width="4.875" style="1204" customWidth="1"/>
    <col min="3586" max="3586" width="13.25" style="1204" customWidth="1"/>
    <col min="3587" max="3587" width="15.625" style="1204" customWidth="1"/>
    <col min="3588" max="3588" width="9.375" style="1204" bestFit="1" customWidth="1"/>
    <col min="3589" max="3589" width="13.5" style="1204" customWidth="1"/>
    <col min="3590" max="3590" width="9" style="1204"/>
    <col min="3591" max="3591" width="9.375" style="1204" bestFit="1" customWidth="1"/>
    <col min="3592" max="3593" width="9" style="1204"/>
    <col min="3594" max="3594" width="9.375" style="1204" bestFit="1" customWidth="1"/>
    <col min="3595" max="3595" width="4" style="1204" customWidth="1"/>
    <col min="3596" max="3596" width="5.125" style="1204" customWidth="1"/>
    <col min="3597" max="3597" width="13.75" style="1204" customWidth="1"/>
    <col min="3598" max="3840" width="9" style="1204"/>
    <col min="3841" max="3841" width="4.875" style="1204" customWidth="1"/>
    <col min="3842" max="3842" width="13.25" style="1204" customWidth="1"/>
    <col min="3843" max="3843" width="15.625" style="1204" customWidth="1"/>
    <col min="3844" max="3844" width="9.375" style="1204" bestFit="1" customWidth="1"/>
    <col min="3845" max="3845" width="13.5" style="1204" customWidth="1"/>
    <col min="3846" max="3846" width="9" style="1204"/>
    <col min="3847" max="3847" width="9.375" style="1204" bestFit="1" customWidth="1"/>
    <col min="3848" max="3849" width="9" style="1204"/>
    <col min="3850" max="3850" width="9.375" style="1204" bestFit="1" customWidth="1"/>
    <col min="3851" max="3851" width="4" style="1204" customWidth="1"/>
    <col min="3852" max="3852" width="5.125" style="1204" customWidth="1"/>
    <col min="3853" max="3853" width="13.75" style="1204" customWidth="1"/>
    <col min="3854" max="4096" width="9" style="1204"/>
    <col min="4097" max="4097" width="4.875" style="1204" customWidth="1"/>
    <col min="4098" max="4098" width="13.25" style="1204" customWidth="1"/>
    <col min="4099" max="4099" width="15.625" style="1204" customWidth="1"/>
    <col min="4100" max="4100" width="9.375" style="1204" bestFit="1" customWidth="1"/>
    <col min="4101" max="4101" width="13.5" style="1204" customWidth="1"/>
    <col min="4102" max="4102" width="9" style="1204"/>
    <col min="4103" max="4103" width="9.375" style="1204" bestFit="1" customWidth="1"/>
    <col min="4104" max="4105" width="9" style="1204"/>
    <col min="4106" max="4106" width="9.375" style="1204" bestFit="1" customWidth="1"/>
    <col min="4107" max="4107" width="4" style="1204" customWidth="1"/>
    <col min="4108" max="4108" width="5.125" style="1204" customWidth="1"/>
    <col min="4109" max="4109" width="13.75" style="1204" customWidth="1"/>
    <col min="4110" max="4352" width="9" style="1204"/>
    <col min="4353" max="4353" width="4.875" style="1204" customWidth="1"/>
    <col min="4354" max="4354" width="13.25" style="1204" customWidth="1"/>
    <col min="4355" max="4355" width="15.625" style="1204" customWidth="1"/>
    <col min="4356" max="4356" width="9.375" style="1204" bestFit="1" customWidth="1"/>
    <col min="4357" max="4357" width="13.5" style="1204" customWidth="1"/>
    <col min="4358" max="4358" width="9" style="1204"/>
    <col min="4359" max="4359" width="9.375" style="1204" bestFit="1" customWidth="1"/>
    <col min="4360" max="4361" width="9" style="1204"/>
    <col min="4362" max="4362" width="9.375" style="1204" bestFit="1" customWidth="1"/>
    <col min="4363" max="4363" width="4" style="1204" customWidth="1"/>
    <col min="4364" max="4364" width="5.125" style="1204" customWidth="1"/>
    <col min="4365" max="4365" width="13.75" style="1204" customWidth="1"/>
    <col min="4366" max="4608" width="9" style="1204"/>
    <col min="4609" max="4609" width="4.875" style="1204" customWidth="1"/>
    <col min="4610" max="4610" width="13.25" style="1204" customWidth="1"/>
    <col min="4611" max="4611" width="15.625" style="1204" customWidth="1"/>
    <col min="4612" max="4612" width="9.375" style="1204" bestFit="1" customWidth="1"/>
    <col min="4613" max="4613" width="13.5" style="1204" customWidth="1"/>
    <col min="4614" max="4614" width="9" style="1204"/>
    <col min="4615" max="4615" width="9.375" style="1204" bestFit="1" customWidth="1"/>
    <col min="4616" max="4617" width="9" style="1204"/>
    <col min="4618" max="4618" width="9.375" style="1204" bestFit="1" customWidth="1"/>
    <col min="4619" max="4619" width="4" style="1204" customWidth="1"/>
    <col min="4620" max="4620" width="5.125" style="1204" customWidth="1"/>
    <col min="4621" max="4621" width="13.75" style="1204" customWidth="1"/>
    <col min="4622" max="4864" width="9" style="1204"/>
    <col min="4865" max="4865" width="4.875" style="1204" customWidth="1"/>
    <col min="4866" max="4866" width="13.25" style="1204" customWidth="1"/>
    <col min="4867" max="4867" width="15.625" style="1204" customWidth="1"/>
    <col min="4868" max="4868" width="9.375" style="1204" bestFit="1" customWidth="1"/>
    <col min="4869" max="4869" width="13.5" style="1204" customWidth="1"/>
    <col min="4870" max="4870" width="9" style="1204"/>
    <col min="4871" max="4871" width="9.375" style="1204" bestFit="1" customWidth="1"/>
    <col min="4872" max="4873" width="9" style="1204"/>
    <col min="4874" max="4874" width="9.375" style="1204" bestFit="1" customWidth="1"/>
    <col min="4875" max="4875" width="4" style="1204" customWidth="1"/>
    <col min="4876" max="4876" width="5.125" style="1204" customWidth="1"/>
    <col min="4877" max="4877" width="13.75" style="1204" customWidth="1"/>
    <col min="4878" max="5120" width="9" style="1204"/>
    <col min="5121" max="5121" width="4.875" style="1204" customWidth="1"/>
    <col min="5122" max="5122" width="13.25" style="1204" customWidth="1"/>
    <col min="5123" max="5123" width="15.625" style="1204" customWidth="1"/>
    <col min="5124" max="5124" width="9.375" style="1204" bestFit="1" customWidth="1"/>
    <col min="5125" max="5125" width="13.5" style="1204" customWidth="1"/>
    <col min="5126" max="5126" width="9" style="1204"/>
    <col min="5127" max="5127" width="9.375" style="1204" bestFit="1" customWidth="1"/>
    <col min="5128" max="5129" width="9" style="1204"/>
    <col min="5130" max="5130" width="9.375" style="1204" bestFit="1" customWidth="1"/>
    <col min="5131" max="5131" width="4" style="1204" customWidth="1"/>
    <col min="5132" max="5132" width="5.125" style="1204" customWidth="1"/>
    <col min="5133" max="5133" width="13.75" style="1204" customWidth="1"/>
    <col min="5134" max="5376" width="9" style="1204"/>
    <col min="5377" max="5377" width="4.875" style="1204" customWidth="1"/>
    <col min="5378" max="5378" width="13.25" style="1204" customWidth="1"/>
    <col min="5379" max="5379" width="15.625" style="1204" customWidth="1"/>
    <col min="5380" max="5380" width="9.375" style="1204" bestFit="1" customWidth="1"/>
    <col min="5381" max="5381" width="13.5" style="1204" customWidth="1"/>
    <col min="5382" max="5382" width="9" style="1204"/>
    <col min="5383" max="5383" width="9.375" style="1204" bestFit="1" customWidth="1"/>
    <col min="5384" max="5385" width="9" style="1204"/>
    <col min="5386" max="5386" width="9.375" style="1204" bestFit="1" customWidth="1"/>
    <col min="5387" max="5387" width="4" style="1204" customWidth="1"/>
    <col min="5388" max="5388" width="5.125" style="1204" customWidth="1"/>
    <col min="5389" max="5389" width="13.75" style="1204" customWidth="1"/>
    <col min="5390" max="5632" width="9" style="1204"/>
    <col min="5633" max="5633" width="4.875" style="1204" customWidth="1"/>
    <col min="5634" max="5634" width="13.25" style="1204" customWidth="1"/>
    <col min="5635" max="5635" width="15.625" style="1204" customWidth="1"/>
    <col min="5636" max="5636" width="9.375" style="1204" bestFit="1" customWidth="1"/>
    <col min="5637" max="5637" width="13.5" style="1204" customWidth="1"/>
    <col min="5638" max="5638" width="9" style="1204"/>
    <col min="5639" max="5639" width="9.375" style="1204" bestFit="1" customWidth="1"/>
    <col min="5640" max="5641" width="9" style="1204"/>
    <col min="5642" max="5642" width="9.375" style="1204" bestFit="1" customWidth="1"/>
    <col min="5643" max="5643" width="4" style="1204" customWidth="1"/>
    <col min="5644" max="5644" width="5.125" style="1204" customWidth="1"/>
    <col min="5645" max="5645" width="13.75" style="1204" customWidth="1"/>
    <col min="5646" max="5888" width="9" style="1204"/>
    <col min="5889" max="5889" width="4.875" style="1204" customWidth="1"/>
    <col min="5890" max="5890" width="13.25" style="1204" customWidth="1"/>
    <col min="5891" max="5891" width="15.625" style="1204" customWidth="1"/>
    <col min="5892" max="5892" width="9.375" style="1204" bestFit="1" customWidth="1"/>
    <col min="5893" max="5893" width="13.5" style="1204" customWidth="1"/>
    <col min="5894" max="5894" width="9" style="1204"/>
    <col min="5895" max="5895" width="9.375" style="1204" bestFit="1" customWidth="1"/>
    <col min="5896" max="5897" width="9" style="1204"/>
    <col min="5898" max="5898" width="9.375" style="1204" bestFit="1" customWidth="1"/>
    <col min="5899" max="5899" width="4" style="1204" customWidth="1"/>
    <col min="5900" max="5900" width="5.125" style="1204" customWidth="1"/>
    <col min="5901" max="5901" width="13.75" style="1204" customWidth="1"/>
    <col min="5902" max="6144" width="9" style="1204"/>
    <col min="6145" max="6145" width="4.875" style="1204" customWidth="1"/>
    <col min="6146" max="6146" width="13.25" style="1204" customWidth="1"/>
    <col min="6147" max="6147" width="15.625" style="1204" customWidth="1"/>
    <col min="6148" max="6148" width="9.375" style="1204" bestFit="1" customWidth="1"/>
    <col min="6149" max="6149" width="13.5" style="1204" customWidth="1"/>
    <col min="6150" max="6150" width="9" style="1204"/>
    <col min="6151" max="6151" width="9.375" style="1204" bestFit="1" customWidth="1"/>
    <col min="6152" max="6153" width="9" style="1204"/>
    <col min="6154" max="6154" width="9.375" style="1204" bestFit="1" customWidth="1"/>
    <col min="6155" max="6155" width="4" style="1204" customWidth="1"/>
    <col min="6156" max="6156" width="5.125" style="1204" customWidth="1"/>
    <col min="6157" max="6157" width="13.75" style="1204" customWidth="1"/>
    <col min="6158" max="6400" width="9" style="1204"/>
    <col min="6401" max="6401" width="4.875" style="1204" customWidth="1"/>
    <col min="6402" max="6402" width="13.25" style="1204" customWidth="1"/>
    <col min="6403" max="6403" width="15.625" style="1204" customWidth="1"/>
    <col min="6404" max="6404" width="9.375" style="1204" bestFit="1" customWidth="1"/>
    <col min="6405" max="6405" width="13.5" style="1204" customWidth="1"/>
    <col min="6406" max="6406" width="9" style="1204"/>
    <col min="6407" max="6407" width="9.375" style="1204" bestFit="1" customWidth="1"/>
    <col min="6408" max="6409" width="9" style="1204"/>
    <col min="6410" max="6410" width="9.375" style="1204" bestFit="1" customWidth="1"/>
    <col min="6411" max="6411" width="4" style="1204" customWidth="1"/>
    <col min="6412" max="6412" width="5.125" style="1204" customWidth="1"/>
    <col min="6413" max="6413" width="13.75" style="1204" customWidth="1"/>
    <col min="6414" max="6656" width="9" style="1204"/>
    <col min="6657" max="6657" width="4.875" style="1204" customWidth="1"/>
    <col min="6658" max="6658" width="13.25" style="1204" customWidth="1"/>
    <col min="6659" max="6659" width="15.625" style="1204" customWidth="1"/>
    <col min="6660" max="6660" width="9.375" style="1204" bestFit="1" customWidth="1"/>
    <col min="6661" max="6661" width="13.5" style="1204" customWidth="1"/>
    <col min="6662" max="6662" width="9" style="1204"/>
    <col min="6663" max="6663" width="9.375" style="1204" bestFit="1" customWidth="1"/>
    <col min="6664" max="6665" width="9" style="1204"/>
    <col min="6666" max="6666" width="9.375" style="1204" bestFit="1" customWidth="1"/>
    <col min="6667" max="6667" width="4" style="1204" customWidth="1"/>
    <col min="6668" max="6668" width="5.125" style="1204" customWidth="1"/>
    <col min="6669" max="6669" width="13.75" style="1204" customWidth="1"/>
    <col min="6670" max="6912" width="9" style="1204"/>
    <col min="6913" max="6913" width="4.875" style="1204" customWidth="1"/>
    <col min="6914" max="6914" width="13.25" style="1204" customWidth="1"/>
    <col min="6915" max="6915" width="15.625" style="1204" customWidth="1"/>
    <col min="6916" max="6916" width="9.375" style="1204" bestFit="1" customWidth="1"/>
    <col min="6917" max="6917" width="13.5" style="1204" customWidth="1"/>
    <col min="6918" max="6918" width="9" style="1204"/>
    <col min="6919" max="6919" width="9.375" style="1204" bestFit="1" customWidth="1"/>
    <col min="6920" max="6921" width="9" style="1204"/>
    <col min="6922" max="6922" width="9.375" style="1204" bestFit="1" customWidth="1"/>
    <col min="6923" max="6923" width="4" style="1204" customWidth="1"/>
    <col min="6924" max="6924" width="5.125" style="1204" customWidth="1"/>
    <col min="6925" max="6925" width="13.75" style="1204" customWidth="1"/>
    <col min="6926" max="7168" width="9" style="1204"/>
    <col min="7169" max="7169" width="4.875" style="1204" customWidth="1"/>
    <col min="7170" max="7170" width="13.25" style="1204" customWidth="1"/>
    <col min="7171" max="7171" width="15.625" style="1204" customWidth="1"/>
    <col min="7172" max="7172" width="9.375" style="1204" bestFit="1" customWidth="1"/>
    <col min="7173" max="7173" width="13.5" style="1204" customWidth="1"/>
    <col min="7174" max="7174" width="9" style="1204"/>
    <col min="7175" max="7175" width="9.375" style="1204" bestFit="1" customWidth="1"/>
    <col min="7176" max="7177" width="9" style="1204"/>
    <col min="7178" max="7178" width="9.375" style="1204" bestFit="1" customWidth="1"/>
    <col min="7179" max="7179" width="4" style="1204" customWidth="1"/>
    <col min="7180" max="7180" width="5.125" style="1204" customWidth="1"/>
    <col min="7181" max="7181" width="13.75" style="1204" customWidth="1"/>
    <col min="7182" max="7424" width="9" style="1204"/>
    <col min="7425" max="7425" width="4.875" style="1204" customWidth="1"/>
    <col min="7426" max="7426" width="13.25" style="1204" customWidth="1"/>
    <col min="7427" max="7427" width="15.625" style="1204" customWidth="1"/>
    <col min="7428" max="7428" width="9.375" style="1204" bestFit="1" customWidth="1"/>
    <col min="7429" max="7429" width="13.5" style="1204" customWidth="1"/>
    <col min="7430" max="7430" width="9" style="1204"/>
    <col min="7431" max="7431" width="9.375" style="1204" bestFit="1" customWidth="1"/>
    <col min="7432" max="7433" width="9" style="1204"/>
    <col min="7434" max="7434" width="9.375" style="1204" bestFit="1" customWidth="1"/>
    <col min="7435" max="7435" width="4" style="1204" customWidth="1"/>
    <col min="7436" max="7436" width="5.125" style="1204" customWidth="1"/>
    <col min="7437" max="7437" width="13.75" style="1204" customWidth="1"/>
    <col min="7438" max="7680" width="9" style="1204"/>
    <col min="7681" max="7681" width="4.875" style="1204" customWidth="1"/>
    <col min="7682" max="7682" width="13.25" style="1204" customWidth="1"/>
    <col min="7683" max="7683" width="15.625" style="1204" customWidth="1"/>
    <col min="7684" max="7684" width="9.375" style="1204" bestFit="1" customWidth="1"/>
    <col min="7685" max="7685" width="13.5" style="1204" customWidth="1"/>
    <col min="7686" max="7686" width="9" style="1204"/>
    <col min="7687" max="7687" width="9.375" style="1204" bestFit="1" customWidth="1"/>
    <col min="7688" max="7689" width="9" style="1204"/>
    <col min="7690" max="7690" width="9.375" style="1204" bestFit="1" customWidth="1"/>
    <col min="7691" max="7691" width="4" style="1204" customWidth="1"/>
    <col min="7692" max="7692" width="5.125" style="1204" customWidth="1"/>
    <col min="7693" max="7693" width="13.75" style="1204" customWidth="1"/>
    <col min="7694" max="7936" width="9" style="1204"/>
    <col min="7937" max="7937" width="4.875" style="1204" customWidth="1"/>
    <col min="7938" max="7938" width="13.25" style="1204" customWidth="1"/>
    <col min="7939" max="7939" width="15.625" style="1204" customWidth="1"/>
    <col min="7940" max="7940" width="9.375" style="1204" bestFit="1" customWidth="1"/>
    <col min="7941" max="7941" width="13.5" style="1204" customWidth="1"/>
    <col min="7942" max="7942" width="9" style="1204"/>
    <col min="7943" max="7943" width="9.375" style="1204" bestFit="1" customWidth="1"/>
    <col min="7944" max="7945" width="9" style="1204"/>
    <col min="7946" max="7946" width="9.375" style="1204" bestFit="1" customWidth="1"/>
    <col min="7947" max="7947" width="4" style="1204" customWidth="1"/>
    <col min="7948" max="7948" width="5.125" style="1204" customWidth="1"/>
    <col min="7949" max="7949" width="13.75" style="1204" customWidth="1"/>
    <col min="7950" max="8192" width="9" style="1204"/>
    <col min="8193" max="8193" width="4.875" style="1204" customWidth="1"/>
    <col min="8194" max="8194" width="13.25" style="1204" customWidth="1"/>
    <col min="8195" max="8195" width="15.625" style="1204" customWidth="1"/>
    <col min="8196" max="8196" width="9.375" style="1204" bestFit="1" customWidth="1"/>
    <col min="8197" max="8197" width="13.5" style="1204" customWidth="1"/>
    <col min="8198" max="8198" width="9" style="1204"/>
    <col min="8199" max="8199" width="9.375" style="1204" bestFit="1" customWidth="1"/>
    <col min="8200" max="8201" width="9" style="1204"/>
    <col min="8202" max="8202" width="9.375" style="1204" bestFit="1" customWidth="1"/>
    <col min="8203" max="8203" width="4" style="1204" customWidth="1"/>
    <col min="8204" max="8204" width="5.125" style="1204" customWidth="1"/>
    <col min="8205" max="8205" width="13.75" style="1204" customWidth="1"/>
    <col min="8206" max="8448" width="9" style="1204"/>
    <col min="8449" max="8449" width="4.875" style="1204" customWidth="1"/>
    <col min="8450" max="8450" width="13.25" style="1204" customWidth="1"/>
    <col min="8451" max="8451" width="15.625" style="1204" customWidth="1"/>
    <col min="8452" max="8452" width="9.375" style="1204" bestFit="1" customWidth="1"/>
    <col min="8453" max="8453" width="13.5" style="1204" customWidth="1"/>
    <col min="8454" max="8454" width="9" style="1204"/>
    <col min="8455" max="8455" width="9.375" style="1204" bestFit="1" customWidth="1"/>
    <col min="8456" max="8457" width="9" style="1204"/>
    <col min="8458" max="8458" width="9.375" style="1204" bestFit="1" customWidth="1"/>
    <col min="8459" max="8459" width="4" style="1204" customWidth="1"/>
    <col min="8460" max="8460" width="5.125" style="1204" customWidth="1"/>
    <col min="8461" max="8461" width="13.75" style="1204" customWidth="1"/>
    <col min="8462" max="8704" width="9" style="1204"/>
    <col min="8705" max="8705" width="4.875" style="1204" customWidth="1"/>
    <col min="8706" max="8706" width="13.25" style="1204" customWidth="1"/>
    <col min="8707" max="8707" width="15.625" style="1204" customWidth="1"/>
    <col min="8708" max="8708" width="9.375" style="1204" bestFit="1" customWidth="1"/>
    <col min="8709" max="8709" width="13.5" style="1204" customWidth="1"/>
    <col min="8710" max="8710" width="9" style="1204"/>
    <col min="8711" max="8711" width="9.375" style="1204" bestFit="1" customWidth="1"/>
    <col min="8712" max="8713" width="9" style="1204"/>
    <col min="8714" max="8714" width="9.375" style="1204" bestFit="1" customWidth="1"/>
    <col min="8715" max="8715" width="4" style="1204" customWidth="1"/>
    <col min="8716" max="8716" width="5.125" style="1204" customWidth="1"/>
    <col min="8717" max="8717" width="13.75" style="1204" customWidth="1"/>
    <col min="8718" max="8960" width="9" style="1204"/>
    <col min="8961" max="8961" width="4.875" style="1204" customWidth="1"/>
    <col min="8962" max="8962" width="13.25" style="1204" customWidth="1"/>
    <col min="8963" max="8963" width="15.625" style="1204" customWidth="1"/>
    <col min="8964" max="8964" width="9.375" style="1204" bestFit="1" customWidth="1"/>
    <col min="8965" max="8965" width="13.5" style="1204" customWidth="1"/>
    <col min="8966" max="8966" width="9" style="1204"/>
    <col min="8967" max="8967" width="9.375" style="1204" bestFit="1" customWidth="1"/>
    <col min="8968" max="8969" width="9" style="1204"/>
    <col min="8970" max="8970" width="9.375" style="1204" bestFit="1" customWidth="1"/>
    <col min="8971" max="8971" width="4" style="1204" customWidth="1"/>
    <col min="8972" max="8972" width="5.125" style="1204" customWidth="1"/>
    <col min="8973" max="8973" width="13.75" style="1204" customWidth="1"/>
    <col min="8974" max="9216" width="9" style="1204"/>
    <col min="9217" max="9217" width="4.875" style="1204" customWidth="1"/>
    <col min="9218" max="9218" width="13.25" style="1204" customWidth="1"/>
    <col min="9219" max="9219" width="15.625" style="1204" customWidth="1"/>
    <col min="9220" max="9220" width="9.375" style="1204" bestFit="1" customWidth="1"/>
    <col min="9221" max="9221" width="13.5" style="1204" customWidth="1"/>
    <col min="9222" max="9222" width="9" style="1204"/>
    <col min="9223" max="9223" width="9.375" style="1204" bestFit="1" customWidth="1"/>
    <col min="9224" max="9225" width="9" style="1204"/>
    <col min="9226" max="9226" width="9.375" style="1204" bestFit="1" customWidth="1"/>
    <col min="9227" max="9227" width="4" style="1204" customWidth="1"/>
    <col min="9228" max="9228" width="5.125" style="1204" customWidth="1"/>
    <col min="9229" max="9229" width="13.75" style="1204" customWidth="1"/>
    <col min="9230" max="9472" width="9" style="1204"/>
    <col min="9473" max="9473" width="4.875" style="1204" customWidth="1"/>
    <col min="9474" max="9474" width="13.25" style="1204" customWidth="1"/>
    <col min="9475" max="9475" width="15.625" style="1204" customWidth="1"/>
    <col min="9476" max="9476" width="9.375" style="1204" bestFit="1" customWidth="1"/>
    <col min="9477" max="9477" width="13.5" style="1204" customWidth="1"/>
    <col min="9478" max="9478" width="9" style="1204"/>
    <col min="9479" max="9479" width="9.375" style="1204" bestFit="1" customWidth="1"/>
    <col min="9480" max="9481" width="9" style="1204"/>
    <col min="9482" max="9482" width="9.375" style="1204" bestFit="1" customWidth="1"/>
    <col min="9483" max="9483" width="4" style="1204" customWidth="1"/>
    <col min="9484" max="9484" width="5.125" style="1204" customWidth="1"/>
    <col min="9485" max="9485" width="13.75" style="1204" customWidth="1"/>
    <col min="9486" max="9728" width="9" style="1204"/>
    <col min="9729" max="9729" width="4.875" style="1204" customWidth="1"/>
    <col min="9730" max="9730" width="13.25" style="1204" customWidth="1"/>
    <col min="9731" max="9731" width="15.625" style="1204" customWidth="1"/>
    <col min="9732" max="9732" width="9.375" style="1204" bestFit="1" customWidth="1"/>
    <col min="9733" max="9733" width="13.5" style="1204" customWidth="1"/>
    <col min="9734" max="9734" width="9" style="1204"/>
    <col min="9735" max="9735" width="9.375" style="1204" bestFit="1" customWidth="1"/>
    <col min="9736" max="9737" width="9" style="1204"/>
    <col min="9738" max="9738" width="9.375" style="1204" bestFit="1" customWidth="1"/>
    <col min="9739" max="9739" width="4" style="1204" customWidth="1"/>
    <col min="9740" max="9740" width="5.125" style="1204" customWidth="1"/>
    <col min="9741" max="9741" width="13.75" style="1204" customWidth="1"/>
    <col min="9742" max="9984" width="9" style="1204"/>
    <col min="9985" max="9985" width="4.875" style="1204" customWidth="1"/>
    <col min="9986" max="9986" width="13.25" style="1204" customWidth="1"/>
    <col min="9987" max="9987" width="15.625" style="1204" customWidth="1"/>
    <col min="9988" max="9988" width="9.375" style="1204" bestFit="1" customWidth="1"/>
    <col min="9989" max="9989" width="13.5" style="1204" customWidth="1"/>
    <col min="9990" max="9990" width="9" style="1204"/>
    <col min="9991" max="9991" width="9.375" style="1204" bestFit="1" customWidth="1"/>
    <col min="9992" max="9993" width="9" style="1204"/>
    <col min="9994" max="9994" width="9.375" style="1204" bestFit="1" customWidth="1"/>
    <col min="9995" max="9995" width="4" style="1204" customWidth="1"/>
    <col min="9996" max="9996" width="5.125" style="1204" customWidth="1"/>
    <col min="9997" max="9997" width="13.75" style="1204" customWidth="1"/>
    <col min="9998" max="10240" width="9" style="1204"/>
    <col min="10241" max="10241" width="4.875" style="1204" customWidth="1"/>
    <col min="10242" max="10242" width="13.25" style="1204" customWidth="1"/>
    <col min="10243" max="10243" width="15.625" style="1204" customWidth="1"/>
    <col min="10244" max="10244" width="9.375" style="1204" bestFit="1" customWidth="1"/>
    <col min="10245" max="10245" width="13.5" style="1204" customWidth="1"/>
    <col min="10246" max="10246" width="9" style="1204"/>
    <col min="10247" max="10247" width="9.375" style="1204" bestFit="1" customWidth="1"/>
    <col min="10248" max="10249" width="9" style="1204"/>
    <col min="10250" max="10250" width="9.375" style="1204" bestFit="1" customWidth="1"/>
    <col min="10251" max="10251" width="4" style="1204" customWidth="1"/>
    <col min="10252" max="10252" width="5.125" style="1204" customWidth="1"/>
    <col min="10253" max="10253" width="13.75" style="1204" customWidth="1"/>
    <col min="10254" max="10496" width="9" style="1204"/>
    <col min="10497" max="10497" width="4.875" style="1204" customWidth="1"/>
    <col min="10498" max="10498" width="13.25" style="1204" customWidth="1"/>
    <col min="10499" max="10499" width="15.625" style="1204" customWidth="1"/>
    <col min="10500" max="10500" width="9.375" style="1204" bestFit="1" customWidth="1"/>
    <col min="10501" max="10501" width="13.5" style="1204" customWidth="1"/>
    <col min="10502" max="10502" width="9" style="1204"/>
    <col min="10503" max="10503" width="9.375" style="1204" bestFit="1" customWidth="1"/>
    <col min="10504" max="10505" width="9" style="1204"/>
    <col min="10506" max="10506" width="9.375" style="1204" bestFit="1" customWidth="1"/>
    <col min="10507" max="10507" width="4" style="1204" customWidth="1"/>
    <col min="10508" max="10508" width="5.125" style="1204" customWidth="1"/>
    <col min="10509" max="10509" width="13.75" style="1204" customWidth="1"/>
    <col min="10510" max="10752" width="9" style="1204"/>
    <col min="10753" max="10753" width="4.875" style="1204" customWidth="1"/>
    <col min="10754" max="10754" width="13.25" style="1204" customWidth="1"/>
    <col min="10755" max="10755" width="15.625" style="1204" customWidth="1"/>
    <col min="10756" max="10756" width="9.375" style="1204" bestFit="1" customWidth="1"/>
    <col min="10757" max="10757" width="13.5" style="1204" customWidth="1"/>
    <col min="10758" max="10758" width="9" style="1204"/>
    <col min="10759" max="10759" width="9.375" style="1204" bestFit="1" customWidth="1"/>
    <col min="10760" max="10761" width="9" style="1204"/>
    <col min="10762" max="10762" width="9.375" style="1204" bestFit="1" customWidth="1"/>
    <col min="10763" max="10763" width="4" style="1204" customWidth="1"/>
    <col min="10764" max="10764" width="5.125" style="1204" customWidth="1"/>
    <col min="10765" max="10765" width="13.75" style="1204" customWidth="1"/>
    <col min="10766" max="11008" width="9" style="1204"/>
    <col min="11009" max="11009" width="4.875" style="1204" customWidth="1"/>
    <col min="11010" max="11010" width="13.25" style="1204" customWidth="1"/>
    <col min="11011" max="11011" width="15.625" style="1204" customWidth="1"/>
    <col min="11012" max="11012" width="9.375" style="1204" bestFit="1" customWidth="1"/>
    <col min="11013" max="11013" width="13.5" style="1204" customWidth="1"/>
    <col min="11014" max="11014" width="9" style="1204"/>
    <col min="11015" max="11015" width="9.375" style="1204" bestFit="1" customWidth="1"/>
    <col min="11016" max="11017" width="9" style="1204"/>
    <col min="11018" max="11018" width="9.375" style="1204" bestFit="1" customWidth="1"/>
    <col min="11019" max="11019" width="4" style="1204" customWidth="1"/>
    <col min="11020" max="11020" width="5.125" style="1204" customWidth="1"/>
    <col min="11021" max="11021" width="13.75" style="1204" customWidth="1"/>
    <col min="11022" max="11264" width="9" style="1204"/>
    <col min="11265" max="11265" width="4.875" style="1204" customWidth="1"/>
    <col min="11266" max="11266" width="13.25" style="1204" customWidth="1"/>
    <col min="11267" max="11267" width="15.625" style="1204" customWidth="1"/>
    <col min="11268" max="11268" width="9.375" style="1204" bestFit="1" customWidth="1"/>
    <col min="11269" max="11269" width="13.5" style="1204" customWidth="1"/>
    <col min="11270" max="11270" width="9" style="1204"/>
    <col min="11271" max="11271" width="9.375" style="1204" bestFit="1" customWidth="1"/>
    <col min="11272" max="11273" width="9" style="1204"/>
    <col min="11274" max="11274" width="9.375" style="1204" bestFit="1" customWidth="1"/>
    <col min="11275" max="11275" width="4" style="1204" customWidth="1"/>
    <col min="11276" max="11276" width="5.125" style="1204" customWidth="1"/>
    <col min="11277" max="11277" width="13.75" style="1204" customWidth="1"/>
    <col min="11278" max="11520" width="9" style="1204"/>
    <col min="11521" max="11521" width="4.875" style="1204" customWidth="1"/>
    <col min="11522" max="11522" width="13.25" style="1204" customWidth="1"/>
    <col min="11523" max="11523" width="15.625" style="1204" customWidth="1"/>
    <col min="11524" max="11524" width="9.375" style="1204" bestFit="1" customWidth="1"/>
    <col min="11525" max="11525" width="13.5" style="1204" customWidth="1"/>
    <col min="11526" max="11526" width="9" style="1204"/>
    <col min="11527" max="11527" width="9.375" style="1204" bestFit="1" customWidth="1"/>
    <col min="11528" max="11529" width="9" style="1204"/>
    <col min="11530" max="11530" width="9.375" style="1204" bestFit="1" customWidth="1"/>
    <col min="11531" max="11531" width="4" style="1204" customWidth="1"/>
    <col min="11532" max="11532" width="5.125" style="1204" customWidth="1"/>
    <col min="11533" max="11533" width="13.75" style="1204" customWidth="1"/>
    <col min="11534" max="11776" width="9" style="1204"/>
    <col min="11777" max="11777" width="4.875" style="1204" customWidth="1"/>
    <col min="11778" max="11778" width="13.25" style="1204" customWidth="1"/>
    <col min="11779" max="11779" width="15.625" style="1204" customWidth="1"/>
    <col min="11780" max="11780" width="9.375" style="1204" bestFit="1" customWidth="1"/>
    <col min="11781" max="11781" width="13.5" style="1204" customWidth="1"/>
    <col min="11782" max="11782" width="9" style="1204"/>
    <col min="11783" max="11783" width="9.375" style="1204" bestFit="1" customWidth="1"/>
    <col min="11784" max="11785" width="9" style="1204"/>
    <col min="11786" max="11786" width="9.375" style="1204" bestFit="1" customWidth="1"/>
    <col min="11787" max="11787" width="4" style="1204" customWidth="1"/>
    <col min="11788" max="11788" width="5.125" style="1204" customWidth="1"/>
    <col min="11789" max="11789" width="13.75" style="1204" customWidth="1"/>
    <col min="11790" max="12032" width="9" style="1204"/>
    <col min="12033" max="12033" width="4.875" style="1204" customWidth="1"/>
    <col min="12034" max="12034" width="13.25" style="1204" customWidth="1"/>
    <col min="12035" max="12035" width="15.625" style="1204" customWidth="1"/>
    <col min="12036" max="12036" width="9.375" style="1204" bestFit="1" customWidth="1"/>
    <col min="12037" max="12037" width="13.5" style="1204" customWidth="1"/>
    <col min="12038" max="12038" width="9" style="1204"/>
    <col min="12039" max="12039" width="9.375" style="1204" bestFit="1" customWidth="1"/>
    <col min="12040" max="12041" width="9" style="1204"/>
    <col min="12042" max="12042" width="9.375" style="1204" bestFit="1" customWidth="1"/>
    <col min="12043" max="12043" width="4" style="1204" customWidth="1"/>
    <col min="12044" max="12044" width="5.125" style="1204" customWidth="1"/>
    <col min="12045" max="12045" width="13.75" style="1204" customWidth="1"/>
    <col min="12046" max="12288" width="9" style="1204"/>
    <col min="12289" max="12289" width="4.875" style="1204" customWidth="1"/>
    <col min="12290" max="12290" width="13.25" style="1204" customWidth="1"/>
    <col min="12291" max="12291" width="15.625" style="1204" customWidth="1"/>
    <col min="12292" max="12292" width="9.375" style="1204" bestFit="1" customWidth="1"/>
    <col min="12293" max="12293" width="13.5" style="1204" customWidth="1"/>
    <col min="12294" max="12294" width="9" style="1204"/>
    <col min="12295" max="12295" width="9.375" style="1204" bestFit="1" customWidth="1"/>
    <col min="12296" max="12297" width="9" style="1204"/>
    <col min="12298" max="12298" width="9.375" style="1204" bestFit="1" customWidth="1"/>
    <col min="12299" max="12299" width="4" style="1204" customWidth="1"/>
    <col min="12300" max="12300" width="5.125" style="1204" customWidth="1"/>
    <col min="12301" max="12301" width="13.75" style="1204" customWidth="1"/>
    <col min="12302" max="12544" width="9" style="1204"/>
    <col min="12545" max="12545" width="4.875" style="1204" customWidth="1"/>
    <col min="12546" max="12546" width="13.25" style="1204" customWidth="1"/>
    <col min="12547" max="12547" width="15.625" style="1204" customWidth="1"/>
    <col min="12548" max="12548" width="9.375" style="1204" bestFit="1" customWidth="1"/>
    <col min="12549" max="12549" width="13.5" style="1204" customWidth="1"/>
    <col min="12550" max="12550" width="9" style="1204"/>
    <col min="12551" max="12551" width="9.375" style="1204" bestFit="1" customWidth="1"/>
    <col min="12552" max="12553" width="9" style="1204"/>
    <col min="12554" max="12554" width="9.375" style="1204" bestFit="1" customWidth="1"/>
    <col min="12555" max="12555" width="4" style="1204" customWidth="1"/>
    <col min="12556" max="12556" width="5.125" style="1204" customWidth="1"/>
    <col min="12557" max="12557" width="13.75" style="1204" customWidth="1"/>
    <col min="12558" max="12800" width="9" style="1204"/>
    <col min="12801" max="12801" width="4.875" style="1204" customWidth="1"/>
    <col min="12802" max="12802" width="13.25" style="1204" customWidth="1"/>
    <col min="12803" max="12803" width="15.625" style="1204" customWidth="1"/>
    <col min="12804" max="12804" width="9.375" style="1204" bestFit="1" customWidth="1"/>
    <col min="12805" max="12805" width="13.5" style="1204" customWidth="1"/>
    <col min="12806" max="12806" width="9" style="1204"/>
    <col min="12807" max="12807" width="9.375" style="1204" bestFit="1" customWidth="1"/>
    <col min="12808" max="12809" width="9" style="1204"/>
    <col min="12810" max="12810" width="9.375" style="1204" bestFit="1" customWidth="1"/>
    <col min="12811" max="12811" width="4" style="1204" customWidth="1"/>
    <col min="12812" max="12812" width="5.125" style="1204" customWidth="1"/>
    <col min="12813" max="12813" width="13.75" style="1204" customWidth="1"/>
    <col min="12814" max="13056" width="9" style="1204"/>
    <col min="13057" max="13057" width="4.875" style="1204" customWidth="1"/>
    <col min="13058" max="13058" width="13.25" style="1204" customWidth="1"/>
    <col min="13059" max="13059" width="15.625" style="1204" customWidth="1"/>
    <col min="13060" max="13060" width="9.375" style="1204" bestFit="1" customWidth="1"/>
    <col min="13061" max="13061" width="13.5" style="1204" customWidth="1"/>
    <col min="13062" max="13062" width="9" style="1204"/>
    <col min="13063" max="13063" width="9.375" style="1204" bestFit="1" customWidth="1"/>
    <col min="13064" max="13065" width="9" style="1204"/>
    <col min="13066" max="13066" width="9.375" style="1204" bestFit="1" customWidth="1"/>
    <col min="13067" max="13067" width="4" style="1204" customWidth="1"/>
    <col min="13068" max="13068" width="5.125" style="1204" customWidth="1"/>
    <col min="13069" max="13069" width="13.75" style="1204" customWidth="1"/>
    <col min="13070" max="13312" width="9" style="1204"/>
    <col min="13313" max="13313" width="4.875" style="1204" customWidth="1"/>
    <col min="13314" max="13314" width="13.25" style="1204" customWidth="1"/>
    <col min="13315" max="13315" width="15.625" style="1204" customWidth="1"/>
    <col min="13316" max="13316" width="9.375" style="1204" bestFit="1" customWidth="1"/>
    <col min="13317" max="13317" width="13.5" style="1204" customWidth="1"/>
    <col min="13318" max="13318" width="9" style="1204"/>
    <col min="13319" max="13319" width="9.375" style="1204" bestFit="1" customWidth="1"/>
    <col min="13320" max="13321" width="9" style="1204"/>
    <col min="13322" max="13322" width="9.375" style="1204" bestFit="1" customWidth="1"/>
    <col min="13323" max="13323" width="4" style="1204" customWidth="1"/>
    <col min="13324" max="13324" width="5.125" style="1204" customWidth="1"/>
    <col min="13325" max="13325" width="13.75" style="1204" customWidth="1"/>
    <col min="13326" max="13568" width="9" style="1204"/>
    <col min="13569" max="13569" width="4.875" style="1204" customWidth="1"/>
    <col min="13570" max="13570" width="13.25" style="1204" customWidth="1"/>
    <col min="13571" max="13571" width="15.625" style="1204" customWidth="1"/>
    <col min="13572" max="13572" width="9.375" style="1204" bestFit="1" customWidth="1"/>
    <col min="13573" max="13573" width="13.5" style="1204" customWidth="1"/>
    <col min="13574" max="13574" width="9" style="1204"/>
    <col min="13575" max="13575" width="9.375" style="1204" bestFit="1" customWidth="1"/>
    <col min="13576" max="13577" width="9" style="1204"/>
    <col min="13578" max="13578" width="9.375" style="1204" bestFit="1" customWidth="1"/>
    <col min="13579" max="13579" width="4" style="1204" customWidth="1"/>
    <col min="13580" max="13580" width="5.125" style="1204" customWidth="1"/>
    <col min="13581" max="13581" width="13.75" style="1204" customWidth="1"/>
    <col min="13582" max="13824" width="9" style="1204"/>
    <col min="13825" max="13825" width="4.875" style="1204" customWidth="1"/>
    <col min="13826" max="13826" width="13.25" style="1204" customWidth="1"/>
    <col min="13827" max="13827" width="15.625" style="1204" customWidth="1"/>
    <col min="13828" max="13828" width="9.375" style="1204" bestFit="1" customWidth="1"/>
    <col min="13829" max="13829" width="13.5" style="1204" customWidth="1"/>
    <col min="13830" max="13830" width="9" style="1204"/>
    <col min="13831" max="13831" width="9.375" style="1204" bestFit="1" customWidth="1"/>
    <col min="13832" max="13833" width="9" style="1204"/>
    <col min="13834" max="13834" width="9.375" style="1204" bestFit="1" customWidth="1"/>
    <col min="13835" max="13835" width="4" style="1204" customWidth="1"/>
    <col min="13836" max="13836" width="5.125" style="1204" customWidth="1"/>
    <col min="13837" max="13837" width="13.75" style="1204" customWidth="1"/>
    <col min="13838" max="14080" width="9" style="1204"/>
    <col min="14081" max="14081" width="4.875" style="1204" customWidth="1"/>
    <col min="14082" max="14082" width="13.25" style="1204" customWidth="1"/>
    <col min="14083" max="14083" width="15.625" style="1204" customWidth="1"/>
    <col min="14084" max="14084" width="9.375" style="1204" bestFit="1" customWidth="1"/>
    <col min="14085" max="14085" width="13.5" style="1204" customWidth="1"/>
    <col min="14086" max="14086" width="9" style="1204"/>
    <col min="14087" max="14087" width="9.375" style="1204" bestFit="1" customWidth="1"/>
    <col min="14088" max="14089" width="9" style="1204"/>
    <col min="14090" max="14090" width="9.375" style="1204" bestFit="1" customWidth="1"/>
    <col min="14091" max="14091" width="4" style="1204" customWidth="1"/>
    <col min="14092" max="14092" width="5.125" style="1204" customWidth="1"/>
    <col min="14093" max="14093" width="13.75" style="1204" customWidth="1"/>
    <col min="14094" max="14336" width="9" style="1204"/>
    <col min="14337" max="14337" width="4.875" style="1204" customWidth="1"/>
    <col min="14338" max="14338" width="13.25" style="1204" customWidth="1"/>
    <col min="14339" max="14339" width="15.625" style="1204" customWidth="1"/>
    <col min="14340" max="14340" width="9.375" style="1204" bestFit="1" customWidth="1"/>
    <col min="14341" max="14341" width="13.5" style="1204" customWidth="1"/>
    <col min="14342" max="14342" width="9" style="1204"/>
    <col min="14343" max="14343" width="9.375" style="1204" bestFit="1" customWidth="1"/>
    <col min="14344" max="14345" width="9" style="1204"/>
    <col min="14346" max="14346" width="9.375" style="1204" bestFit="1" customWidth="1"/>
    <col min="14347" max="14347" width="4" style="1204" customWidth="1"/>
    <col min="14348" max="14348" width="5.125" style="1204" customWidth="1"/>
    <col min="14349" max="14349" width="13.75" style="1204" customWidth="1"/>
    <col min="14350" max="14592" width="9" style="1204"/>
    <col min="14593" max="14593" width="4.875" style="1204" customWidth="1"/>
    <col min="14594" max="14594" width="13.25" style="1204" customWidth="1"/>
    <col min="14595" max="14595" width="15.625" style="1204" customWidth="1"/>
    <col min="14596" max="14596" width="9.375" style="1204" bestFit="1" customWidth="1"/>
    <col min="14597" max="14597" width="13.5" style="1204" customWidth="1"/>
    <col min="14598" max="14598" width="9" style="1204"/>
    <col min="14599" max="14599" width="9.375" style="1204" bestFit="1" customWidth="1"/>
    <col min="14600" max="14601" width="9" style="1204"/>
    <col min="14602" max="14602" width="9.375" style="1204" bestFit="1" customWidth="1"/>
    <col min="14603" max="14603" width="4" style="1204" customWidth="1"/>
    <col min="14604" max="14604" width="5.125" style="1204" customWidth="1"/>
    <col min="14605" max="14605" width="13.75" style="1204" customWidth="1"/>
    <col min="14606" max="14848" width="9" style="1204"/>
    <col min="14849" max="14849" width="4.875" style="1204" customWidth="1"/>
    <col min="14850" max="14850" width="13.25" style="1204" customWidth="1"/>
    <col min="14851" max="14851" width="15.625" style="1204" customWidth="1"/>
    <col min="14852" max="14852" width="9.375" style="1204" bestFit="1" customWidth="1"/>
    <col min="14853" max="14853" width="13.5" style="1204" customWidth="1"/>
    <col min="14854" max="14854" width="9" style="1204"/>
    <col min="14855" max="14855" width="9.375" style="1204" bestFit="1" customWidth="1"/>
    <col min="14856" max="14857" width="9" style="1204"/>
    <col min="14858" max="14858" width="9.375" style="1204" bestFit="1" customWidth="1"/>
    <col min="14859" max="14859" width="4" style="1204" customWidth="1"/>
    <col min="14860" max="14860" width="5.125" style="1204" customWidth="1"/>
    <col min="14861" max="14861" width="13.75" style="1204" customWidth="1"/>
    <col min="14862" max="15104" width="9" style="1204"/>
    <col min="15105" max="15105" width="4.875" style="1204" customWidth="1"/>
    <col min="15106" max="15106" width="13.25" style="1204" customWidth="1"/>
    <col min="15107" max="15107" width="15.625" style="1204" customWidth="1"/>
    <col min="15108" max="15108" width="9.375" style="1204" bestFit="1" customWidth="1"/>
    <col min="15109" max="15109" width="13.5" style="1204" customWidth="1"/>
    <col min="15110" max="15110" width="9" style="1204"/>
    <col min="15111" max="15111" width="9.375" style="1204" bestFit="1" customWidth="1"/>
    <col min="15112" max="15113" width="9" style="1204"/>
    <col min="15114" max="15114" width="9.375" style="1204" bestFit="1" customWidth="1"/>
    <col min="15115" max="15115" width="4" style="1204" customWidth="1"/>
    <col min="15116" max="15116" width="5.125" style="1204" customWidth="1"/>
    <col min="15117" max="15117" width="13.75" style="1204" customWidth="1"/>
    <col min="15118" max="15360" width="9" style="1204"/>
    <col min="15361" max="15361" width="4.875" style="1204" customWidth="1"/>
    <col min="15362" max="15362" width="13.25" style="1204" customWidth="1"/>
    <col min="15363" max="15363" width="15.625" style="1204" customWidth="1"/>
    <col min="15364" max="15364" width="9.375" style="1204" bestFit="1" customWidth="1"/>
    <col min="15365" max="15365" width="13.5" style="1204" customWidth="1"/>
    <col min="15366" max="15366" width="9" style="1204"/>
    <col min="15367" max="15367" width="9.375" style="1204" bestFit="1" customWidth="1"/>
    <col min="15368" max="15369" width="9" style="1204"/>
    <col min="15370" max="15370" width="9.375" style="1204" bestFit="1" customWidth="1"/>
    <col min="15371" max="15371" width="4" style="1204" customWidth="1"/>
    <col min="15372" max="15372" width="5.125" style="1204" customWidth="1"/>
    <col min="15373" max="15373" width="13.75" style="1204" customWidth="1"/>
    <col min="15374" max="15616" width="9" style="1204"/>
    <col min="15617" max="15617" width="4.875" style="1204" customWidth="1"/>
    <col min="15618" max="15618" width="13.25" style="1204" customWidth="1"/>
    <col min="15619" max="15619" width="15.625" style="1204" customWidth="1"/>
    <col min="15620" max="15620" width="9.375" style="1204" bestFit="1" customWidth="1"/>
    <col min="15621" max="15621" width="13.5" style="1204" customWidth="1"/>
    <col min="15622" max="15622" width="9" style="1204"/>
    <col min="15623" max="15623" width="9.375" style="1204" bestFit="1" customWidth="1"/>
    <col min="15624" max="15625" width="9" style="1204"/>
    <col min="15626" max="15626" width="9.375" style="1204" bestFit="1" customWidth="1"/>
    <col min="15627" max="15627" width="4" style="1204" customWidth="1"/>
    <col min="15628" max="15628" width="5.125" style="1204" customWidth="1"/>
    <col min="15629" max="15629" width="13.75" style="1204" customWidth="1"/>
    <col min="15630" max="15872" width="9" style="1204"/>
    <col min="15873" max="15873" width="4.875" style="1204" customWidth="1"/>
    <col min="15874" max="15874" width="13.25" style="1204" customWidth="1"/>
    <col min="15875" max="15875" width="15.625" style="1204" customWidth="1"/>
    <col min="15876" max="15876" width="9.375" style="1204" bestFit="1" customWidth="1"/>
    <col min="15877" max="15877" width="13.5" style="1204" customWidth="1"/>
    <col min="15878" max="15878" width="9" style="1204"/>
    <col min="15879" max="15879" width="9.375" style="1204" bestFit="1" customWidth="1"/>
    <col min="15880" max="15881" width="9" style="1204"/>
    <col min="15882" max="15882" width="9.375" style="1204" bestFit="1" customWidth="1"/>
    <col min="15883" max="15883" width="4" style="1204" customWidth="1"/>
    <col min="15884" max="15884" width="5.125" style="1204" customWidth="1"/>
    <col min="15885" max="15885" width="13.75" style="1204" customWidth="1"/>
    <col min="15886" max="16128" width="9" style="1204"/>
    <col min="16129" max="16129" width="4.875" style="1204" customWidth="1"/>
    <col min="16130" max="16130" width="13.25" style="1204" customWidth="1"/>
    <col min="16131" max="16131" width="15.625" style="1204" customWidth="1"/>
    <col min="16132" max="16132" width="9.375" style="1204" bestFit="1" customWidth="1"/>
    <col min="16133" max="16133" width="13.5" style="1204" customWidth="1"/>
    <col min="16134" max="16134" width="9" style="1204"/>
    <col min="16135" max="16135" width="9.375" style="1204" bestFit="1" customWidth="1"/>
    <col min="16136" max="16137" width="9" style="1204"/>
    <col min="16138" max="16138" width="9.375" style="1204" bestFit="1" customWidth="1"/>
    <col min="16139" max="16139" width="4" style="1204" customWidth="1"/>
    <col min="16140" max="16140" width="5.125" style="1204" customWidth="1"/>
    <col min="16141" max="16141" width="13.75" style="1204" customWidth="1"/>
    <col min="16142" max="16384" width="9" style="1204"/>
  </cols>
  <sheetData>
    <row r="1" spans="1:257" s="1267" customFormat="1" ht="14.25" thickBot="1">
      <c r="A1" s="1262"/>
      <c r="B1" s="1263" t="s">
        <v>1116</v>
      </c>
      <c r="C1" s="1268">
        <f>项目基本情况!D2</f>
        <v>44561</v>
      </c>
      <c r="D1" s="1263" t="s">
        <v>1117</v>
      </c>
      <c r="E1" s="1269">
        <f>'数据-取费表'!B24</f>
        <v>2</v>
      </c>
      <c r="F1" s="1263" t="s">
        <v>1118</v>
      </c>
      <c r="G1" s="1270">
        <f ca="1">INDIRECT("d"&amp;$K$1)/100</f>
        <v>3.85E-2</v>
      </c>
      <c r="H1" s="1263" t="s">
        <v>1148</v>
      </c>
      <c r="I1" s="1270">
        <f ca="1">F4/100</f>
        <v>1.4999999999999999E-2</v>
      </c>
      <c r="J1" s="1264">
        <f>IF(C1&gt;C13,0,MATCH(C1,C$13:C$105,-1))+IF(SUMIF(C13:C105,C1,D13:D105)=0,13,12)</f>
        <v>13</v>
      </c>
      <c r="K1" s="1264">
        <f>MATCH(E1,C3:C7,1)+IF(SUMIF(C3:C7,E1,D3:D7)=0,2,1)</f>
        <v>5</v>
      </c>
      <c r="L1" s="1264">
        <f>IF(C1&gt;M13,0,MATCH(C1,M$13:M$101,-1))+IF(SUMIF(M13:M101,C1,N13:N101)=0,13,12)</f>
        <v>13</v>
      </c>
      <c r="M1" s="1262"/>
      <c r="N1" s="1262"/>
      <c r="O1" s="1262"/>
      <c r="P1" s="1262"/>
      <c r="Q1" s="1262"/>
      <c r="R1" s="1262"/>
      <c r="S1" s="1262"/>
      <c r="T1" s="1262"/>
      <c r="U1" s="1262"/>
      <c r="V1" s="1262"/>
      <c r="W1" s="1262"/>
      <c r="X1" s="1262"/>
      <c r="Y1" s="1262"/>
      <c r="Z1" s="1262"/>
      <c r="AA1" s="1265"/>
      <c r="AB1" s="1265"/>
      <c r="AC1" s="1265"/>
      <c r="AD1" s="1265"/>
      <c r="AE1" s="1265"/>
      <c r="AF1" s="1265"/>
      <c r="AG1" s="1265"/>
      <c r="AH1" s="1265"/>
      <c r="AI1" s="1265"/>
      <c r="AJ1" s="1265"/>
      <c r="AK1" s="1265"/>
      <c r="AL1" s="1265"/>
      <c r="AM1" s="1265"/>
      <c r="AN1" s="1265"/>
      <c r="AO1" s="1265"/>
      <c r="AP1" s="1265"/>
      <c r="AQ1" s="1265"/>
      <c r="AR1" s="1265"/>
      <c r="AS1" s="1265"/>
      <c r="AT1" s="1265"/>
      <c r="AU1" s="1265"/>
      <c r="AV1" s="1265"/>
      <c r="AW1" s="1265"/>
      <c r="AX1" s="1265"/>
      <c r="AY1" s="1265"/>
      <c r="AZ1" s="1265"/>
      <c r="BA1" s="1265"/>
      <c r="BB1" s="1265"/>
      <c r="BC1" s="1265"/>
      <c r="BD1" s="1265"/>
      <c r="BE1" s="1265"/>
      <c r="BF1" s="1265"/>
      <c r="BG1" s="1265"/>
      <c r="BH1" s="1265"/>
      <c r="BI1" s="1265"/>
      <c r="BJ1" s="1265"/>
      <c r="BK1" s="1265"/>
      <c r="BL1" s="1265"/>
      <c r="BM1" s="1265"/>
      <c r="BN1" s="1265"/>
      <c r="BO1" s="1265"/>
      <c r="BP1" s="1265"/>
      <c r="BQ1" s="1265"/>
      <c r="BR1" s="1265"/>
      <c r="BS1" s="1265"/>
      <c r="BT1" s="1265"/>
      <c r="BU1" s="1265"/>
      <c r="BV1" s="1265"/>
      <c r="BW1" s="1265"/>
      <c r="BX1" s="1265"/>
      <c r="BY1" s="1265"/>
      <c r="BZ1" s="1265"/>
      <c r="CA1" s="1265"/>
      <c r="CB1" s="1265"/>
      <c r="CC1" s="1265"/>
      <c r="CD1" s="1265"/>
      <c r="CE1" s="1265"/>
      <c r="CF1" s="1265"/>
      <c r="CG1" s="1265"/>
      <c r="CH1" s="1265"/>
      <c r="CI1" s="1265"/>
      <c r="CJ1" s="1265"/>
      <c r="CK1" s="1265"/>
      <c r="CL1" s="1265"/>
      <c r="CM1" s="1265"/>
      <c r="CN1" s="1265"/>
      <c r="CO1" s="1265"/>
      <c r="CP1" s="1265"/>
      <c r="CQ1" s="1265"/>
      <c r="CR1" s="1265"/>
      <c r="CS1" s="1265"/>
      <c r="CT1" s="1265"/>
      <c r="CU1" s="1265"/>
      <c r="CV1" s="1265"/>
      <c r="CW1" s="1265"/>
      <c r="CX1" s="1265"/>
      <c r="CY1" s="1265"/>
      <c r="CZ1" s="1265"/>
      <c r="DA1" s="1265"/>
      <c r="DB1" s="1265"/>
      <c r="DC1" s="1265"/>
      <c r="DD1" s="1265"/>
      <c r="DE1" s="1265"/>
      <c r="DF1" s="1265"/>
      <c r="DG1" s="1265"/>
      <c r="DH1" s="1265"/>
      <c r="DI1" s="1265"/>
      <c r="DJ1" s="1265"/>
      <c r="DK1" s="1265"/>
      <c r="DL1" s="1265"/>
      <c r="DM1" s="1265"/>
      <c r="DN1" s="1265"/>
      <c r="DO1" s="1265"/>
      <c r="DP1" s="1265"/>
      <c r="DQ1" s="1265"/>
      <c r="DR1" s="1265"/>
      <c r="DS1" s="1265"/>
      <c r="DT1" s="1265"/>
      <c r="DU1" s="1265"/>
      <c r="DV1" s="1265"/>
      <c r="DW1" s="1265"/>
      <c r="DX1" s="1265"/>
      <c r="DY1" s="1265"/>
      <c r="DZ1" s="1265"/>
      <c r="EA1" s="1265"/>
      <c r="EB1" s="1265"/>
      <c r="EC1" s="1265"/>
      <c r="ED1" s="1265"/>
      <c r="EE1" s="1265"/>
      <c r="EF1" s="1265"/>
      <c r="EG1" s="1265"/>
      <c r="EH1" s="1265"/>
      <c r="EI1" s="1265"/>
      <c r="EJ1" s="1265"/>
      <c r="EK1" s="1265"/>
      <c r="EL1" s="1265"/>
      <c r="EM1" s="1265"/>
      <c r="EN1" s="1265"/>
      <c r="EO1" s="1265"/>
      <c r="EP1" s="1265"/>
      <c r="EQ1" s="1265"/>
      <c r="ER1" s="1265"/>
      <c r="ES1" s="1265"/>
      <c r="ET1" s="1265"/>
      <c r="EU1" s="1265"/>
      <c r="EV1" s="1265"/>
      <c r="EW1" s="1265"/>
      <c r="EX1" s="1265"/>
      <c r="EY1" s="1265"/>
      <c r="EZ1" s="1265"/>
      <c r="FA1" s="1265"/>
      <c r="FB1" s="1265"/>
      <c r="FC1" s="1265"/>
      <c r="FD1" s="1265"/>
      <c r="FE1" s="1265"/>
      <c r="FF1" s="1265"/>
      <c r="FG1" s="1265"/>
      <c r="FH1" s="1265"/>
      <c r="FI1" s="1265"/>
      <c r="FJ1" s="1265"/>
      <c r="FK1" s="1265"/>
      <c r="FL1" s="1265"/>
      <c r="FM1" s="1265"/>
      <c r="FN1" s="1265"/>
      <c r="FO1" s="1265"/>
      <c r="FP1" s="1265"/>
      <c r="FQ1" s="1265"/>
      <c r="FR1" s="1265"/>
      <c r="FS1" s="1265"/>
      <c r="FT1" s="1265"/>
      <c r="FU1" s="1265"/>
      <c r="FV1" s="1265"/>
      <c r="FW1" s="1265"/>
      <c r="FX1" s="1265"/>
      <c r="FY1" s="1265"/>
      <c r="FZ1" s="1265"/>
      <c r="GA1" s="1265"/>
      <c r="GB1" s="1265"/>
      <c r="GC1" s="1265"/>
      <c r="GD1" s="1265"/>
      <c r="GE1" s="1265"/>
      <c r="GF1" s="1265"/>
      <c r="GG1" s="1265"/>
      <c r="GH1" s="1265"/>
      <c r="GI1" s="1265"/>
      <c r="GJ1" s="1265"/>
      <c r="GK1" s="1265"/>
      <c r="GL1" s="1265"/>
      <c r="GM1" s="1265"/>
      <c r="GN1" s="1265"/>
      <c r="GO1" s="1265"/>
      <c r="GP1" s="1265"/>
      <c r="GQ1" s="1265"/>
      <c r="GR1" s="1265"/>
      <c r="GS1" s="1265"/>
      <c r="GT1" s="1265"/>
      <c r="GU1" s="1265"/>
      <c r="GV1" s="1265"/>
      <c r="GW1" s="1265"/>
      <c r="GX1" s="1265"/>
      <c r="GY1" s="1265"/>
      <c r="GZ1" s="1265"/>
      <c r="HA1" s="1265"/>
      <c r="HB1" s="1265"/>
      <c r="HC1" s="1265"/>
      <c r="HD1" s="1265"/>
      <c r="HE1" s="1265"/>
      <c r="HF1" s="1265"/>
      <c r="HG1" s="1265"/>
      <c r="HH1" s="1265"/>
      <c r="HI1" s="1265"/>
      <c r="HJ1" s="1265"/>
      <c r="HK1" s="1265"/>
      <c r="HL1" s="1265"/>
      <c r="HM1" s="1265"/>
      <c r="HN1" s="1265"/>
      <c r="HO1" s="1265"/>
      <c r="HP1" s="1265"/>
      <c r="HQ1" s="1265"/>
      <c r="HR1" s="1265"/>
      <c r="HS1" s="1265"/>
      <c r="HT1" s="1265"/>
      <c r="HU1" s="1265"/>
      <c r="HV1" s="1265"/>
      <c r="HW1" s="1265"/>
      <c r="HX1" s="1265"/>
      <c r="HY1" s="1265"/>
      <c r="HZ1" s="1265"/>
      <c r="IA1" s="1265"/>
      <c r="IB1" s="1265"/>
      <c r="IC1" s="1265"/>
      <c r="ID1" s="1265"/>
      <c r="IE1" s="1265"/>
      <c r="IF1" s="1265"/>
      <c r="IG1" s="1265"/>
      <c r="IH1" s="1265"/>
      <c r="II1" s="1265"/>
      <c r="IJ1" s="1265"/>
      <c r="IK1" s="1265"/>
      <c r="IL1" s="1265"/>
      <c r="IM1" s="1265"/>
      <c r="IN1" s="1265"/>
      <c r="IO1" s="1265"/>
      <c r="IP1" s="1265"/>
      <c r="IQ1" s="1265"/>
      <c r="IR1" s="1265"/>
      <c r="IS1" s="1265"/>
      <c r="IT1" s="1265"/>
      <c r="IU1" s="1265"/>
      <c r="IV1" s="1265"/>
      <c r="IW1" s="1266"/>
    </row>
    <row r="2" spans="1:257" ht="15" thickTop="1" thickBot="1">
      <c r="A2" s="1205"/>
      <c r="B2" s="1205"/>
      <c r="C2" s="1205"/>
      <c r="D2" s="1205" t="s">
        <v>1119</v>
      </c>
      <c r="E2" s="1205"/>
      <c r="F2" s="1205" t="s">
        <v>1120</v>
      </c>
      <c r="G2" s="1206"/>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AW2" s="1205"/>
      <c r="AX2" s="1205"/>
      <c r="AY2" s="1205"/>
      <c r="AZ2" s="1205"/>
      <c r="BA2" s="1205"/>
      <c r="BB2" s="1205"/>
      <c r="BC2" s="1205"/>
      <c r="BD2" s="1205"/>
      <c r="BE2" s="1205"/>
      <c r="BF2" s="1205"/>
      <c r="BG2" s="1205"/>
      <c r="BH2" s="1205"/>
      <c r="BI2" s="1205"/>
      <c r="BJ2" s="1205"/>
      <c r="BK2" s="1205"/>
      <c r="BL2" s="1205"/>
      <c r="BM2" s="1205"/>
      <c r="BN2" s="1205"/>
      <c r="BO2" s="1205"/>
      <c r="BP2" s="1205"/>
      <c r="BQ2" s="1205"/>
      <c r="BR2" s="1205"/>
      <c r="BS2" s="1205"/>
      <c r="BT2" s="1205"/>
      <c r="BU2" s="1205"/>
      <c r="BV2" s="1205"/>
      <c r="BW2" s="1205"/>
      <c r="BX2" s="1205"/>
      <c r="BY2" s="1205"/>
      <c r="BZ2" s="1205"/>
      <c r="CA2" s="1205"/>
      <c r="CB2" s="1205"/>
      <c r="CC2" s="1205"/>
      <c r="CD2" s="1205"/>
      <c r="CE2" s="1205"/>
      <c r="CF2" s="1205"/>
      <c r="CG2" s="1205"/>
      <c r="CH2" s="1205"/>
      <c r="CI2" s="1205"/>
      <c r="CJ2" s="1205"/>
      <c r="CK2" s="1205"/>
      <c r="CL2" s="1205"/>
      <c r="CM2" s="1205"/>
      <c r="CN2" s="1205"/>
      <c r="CO2" s="1205"/>
      <c r="CP2" s="1205"/>
      <c r="CQ2" s="1205"/>
      <c r="CR2" s="1205"/>
      <c r="CS2" s="1205"/>
      <c r="CT2" s="1205"/>
      <c r="CU2" s="1205"/>
      <c r="CV2" s="1205"/>
      <c r="CW2" s="1205"/>
      <c r="CX2" s="1205"/>
      <c r="CY2" s="1205"/>
      <c r="CZ2" s="1205"/>
      <c r="DA2" s="1205"/>
      <c r="DB2" s="1205"/>
      <c r="DC2" s="1205"/>
      <c r="DD2" s="1205"/>
      <c r="DE2" s="1205"/>
      <c r="DF2" s="1205"/>
      <c r="DG2" s="1205"/>
      <c r="DH2" s="1205"/>
      <c r="DI2" s="1205"/>
      <c r="DJ2" s="1205"/>
      <c r="DK2" s="1205"/>
      <c r="DL2" s="1205"/>
      <c r="DM2" s="1205"/>
      <c r="DN2" s="1205"/>
      <c r="DO2" s="1205"/>
      <c r="DP2" s="1205"/>
      <c r="DQ2" s="1205"/>
      <c r="DR2" s="1205"/>
      <c r="DS2" s="1205"/>
      <c r="DT2" s="1205"/>
      <c r="DU2" s="1205"/>
      <c r="DV2" s="1205"/>
      <c r="DW2" s="1205"/>
      <c r="DX2" s="1205"/>
      <c r="DY2" s="1205"/>
      <c r="DZ2" s="1205"/>
      <c r="EA2" s="1205"/>
      <c r="EB2" s="1205"/>
      <c r="EC2" s="1205"/>
      <c r="ED2" s="1205"/>
      <c r="EE2" s="1205"/>
      <c r="EF2" s="1205"/>
      <c r="EG2" s="1205"/>
      <c r="EH2" s="1205"/>
      <c r="EI2" s="1205"/>
      <c r="EJ2" s="1205"/>
      <c r="EK2" s="1205"/>
      <c r="EL2" s="1205"/>
      <c r="EM2" s="1205"/>
      <c r="EN2" s="1205"/>
      <c r="EO2" s="1205"/>
      <c r="EP2" s="1205"/>
      <c r="EQ2" s="1205"/>
      <c r="ER2" s="1205"/>
      <c r="ES2" s="1205"/>
      <c r="ET2" s="1205"/>
      <c r="EU2" s="1205"/>
      <c r="EV2" s="1205"/>
      <c r="EW2" s="1205"/>
      <c r="EX2" s="1205"/>
      <c r="EY2" s="1205"/>
      <c r="EZ2" s="1205"/>
      <c r="FA2" s="1205"/>
      <c r="FB2" s="1205"/>
      <c r="FC2" s="1205"/>
      <c r="FD2" s="1205"/>
      <c r="FE2" s="1205"/>
      <c r="FF2" s="1205"/>
      <c r="FG2" s="1205"/>
      <c r="FH2" s="1205"/>
      <c r="FI2" s="1205"/>
      <c r="FJ2" s="1205"/>
      <c r="FK2" s="1205"/>
      <c r="FL2" s="1205"/>
      <c r="FM2" s="1205"/>
      <c r="FN2" s="1205"/>
      <c r="FO2" s="1205"/>
      <c r="FP2" s="1205"/>
      <c r="FQ2" s="1205"/>
      <c r="FR2" s="1205"/>
      <c r="FS2" s="1205"/>
      <c r="FT2" s="1205"/>
      <c r="FU2" s="1205"/>
      <c r="FV2" s="1205"/>
      <c r="FW2" s="1205"/>
      <c r="FX2" s="1205"/>
      <c r="FY2" s="1205"/>
      <c r="FZ2" s="1205"/>
      <c r="GA2" s="1205"/>
      <c r="GB2" s="1205"/>
      <c r="GC2" s="1205"/>
      <c r="GD2" s="1205"/>
      <c r="GE2" s="1205"/>
      <c r="GF2" s="1205"/>
      <c r="GG2" s="1205"/>
      <c r="GH2" s="1205"/>
      <c r="GI2" s="1205"/>
      <c r="GJ2" s="1205"/>
      <c r="GK2" s="1205"/>
      <c r="GL2" s="1205"/>
      <c r="GM2" s="1205"/>
      <c r="GN2" s="1205"/>
      <c r="GO2" s="1205"/>
      <c r="GP2" s="1205"/>
      <c r="GQ2" s="1205"/>
      <c r="GR2" s="1205"/>
      <c r="GS2" s="1205"/>
      <c r="GT2" s="1205"/>
      <c r="GU2" s="1205"/>
      <c r="GV2" s="1205"/>
      <c r="GW2" s="1205"/>
      <c r="GX2" s="1205"/>
      <c r="GY2" s="1205"/>
      <c r="GZ2" s="1205"/>
      <c r="HA2" s="1205"/>
      <c r="HB2" s="1205"/>
      <c r="HC2" s="1205"/>
      <c r="HD2" s="1205"/>
      <c r="HE2" s="1205"/>
      <c r="HF2" s="1205"/>
      <c r="HG2" s="1205"/>
      <c r="HH2" s="1205"/>
      <c r="HI2" s="1205"/>
      <c r="HJ2" s="1205"/>
      <c r="HK2" s="1205"/>
      <c r="HL2" s="1205"/>
      <c r="HM2" s="1205"/>
      <c r="HN2" s="1205"/>
      <c r="HO2" s="1205"/>
      <c r="HP2" s="1205"/>
      <c r="HQ2" s="1205"/>
      <c r="HR2" s="1205"/>
      <c r="HS2" s="1205"/>
      <c r="HT2" s="1205"/>
      <c r="HU2" s="1205"/>
      <c r="HV2" s="1205"/>
      <c r="HW2" s="1205"/>
      <c r="HX2" s="1205"/>
      <c r="HY2" s="1205"/>
      <c r="HZ2" s="1205"/>
      <c r="IA2" s="1205"/>
      <c r="IB2" s="1205"/>
      <c r="IC2" s="1205"/>
      <c r="ID2" s="1205"/>
      <c r="IE2" s="1205"/>
      <c r="IF2" s="1205"/>
      <c r="IG2" s="1205"/>
      <c r="IH2" s="1205"/>
      <c r="II2" s="1205"/>
      <c r="IJ2" s="1205"/>
      <c r="IK2" s="1205"/>
      <c r="IL2" s="1205"/>
      <c r="IM2" s="1205"/>
      <c r="IN2" s="1205"/>
      <c r="IO2" s="1205"/>
      <c r="IP2" s="1205"/>
      <c r="IQ2" s="1205"/>
      <c r="IR2" s="1205"/>
      <c r="IS2" s="1205"/>
      <c r="IT2" s="1205"/>
      <c r="IU2" s="1205"/>
      <c r="IV2" s="1205"/>
      <c r="IW2" s="1205"/>
    </row>
    <row r="3" spans="1:257">
      <c r="B3" s="1208" t="s">
        <v>1121</v>
      </c>
      <c r="C3" s="1209">
        <v>0</v>
      </c>
      <c r="D3" s="1210">
        <f ca="1">INDIRECT("d"&amp;$J$1)</f>
        <v>3.85</v>
      </c>
      <c r="E3" s="1211">
        <v>0.5</v>
      </c>
      <c r="F3" s="1212">
        <f ca="1">INDIRECT("p"&amp;$L$1)</f>
        <v>1.3</v>
      </c>
      <c r="G3" s="1207"/>
      <c r="H3" s="1207"/>
      <c r="I3" s="1207"/>
      <c r="J3" s="1207"/>
      <c r="L3" s="1207"/>
      <c r="M3" s="1207"/>
      <c r="N3" s="1207"/>
      <c r="O3" s="1207"/>
      <c r="P3" s="1207"/>
      <c r="Q3" s="1207"/>
      <c r="R3" s="1207"/>
      <c r="S3" s="1207"/>
      <c r="T3" s="1207"/>
      <c r="U3" s="1207"/>
      <c r="V3" s="1207"/>
      <c r="W3" s="1207"/>
      <c r="X3" s="1207"/>
      <c r="Y3" s="1207"/>
      <c r="Z3" s="1207"/>
    </row>
    <row r="4" spans="1:257">
      <c r="B4" s="1214" t="s">
        <v>1122</v>
      </c>
      <c r="C4" s="1215">
        <v>0.5</v>
      </c>
      <c r="D4" s="1216">
        <f ca="1">INDIRECT("e"&amp;$J$1)</f>
        <v>3.85</v>
      </c>
      <c r="E4" s="1217">
        <v>1</v>
      </c>
      <c r="F4" s="1218">
        <f ca="1">INDIRECT("q"&amp;$L$1)</f>
        <v>1.5</v>
      </c>
      <c r="G4" s="1207"/>
      <c r="H4" s="1207"/>
      <c r="I4" s="1207"/>
      <c r="J4" s="1207"/>
      <c r="L4" s="1207"/>
      <c r="M4" s="1207"/>
      <c r="N4" s="1207"/>
      <c r="O4" s="1207"/>
      <c r="P4" s="1207"/>
      <c r="Q4" s="1207"/>
      <c r="R4" s="1207"/>
      <c r="S4" s="1207"/>
      <c r="T4" s="1207"/>
      <c r="U4" s="1207"/>
      <c r="V4" s="1207"/>
      <c r="W4" s="1207"/>
      <c r="X4" s="1207"/>
      <c r="Y4" s="1207"/>
      <c r="Z4" s="1207"/>
    </row>
    <row r="5" spans="1:257">
      <c r="B5" s="1214" t="s">
        <v>1123</v>
      </c>
      <c r="C5" s="1215">
        <v>1</v>
      </c>
      <c r="D5" s="1216">
        <f ca="1">INDIRECT("f"&amp;$J$1)</f>
        <v>3.85</v>
      </c>
      <c r="E5" s="1217">
        <v>2</v>
      </c>
      <c r="F5" s="1218">
        <f ca="1">INDIRECT("r"&amp;$L$1)</f>
        <v>2.1</v>
      </c>
      <c r="G5" s="1207"/>
      <c r="H5" s="1207"/>
      <c r="I5" s="1207"/>
      <c r="J5" s="1207"/>
      <c r="L5" s="1207"/>
      <c r="M5" s="1207"/>
      <c r="N5" s="1207"/>
      <c r="O5" s="1207"/>
      <c r="P5" s="1207"/>
      <c r="Q5" s="1207"/>
      <c r="R5" s="1207"/>
      <c r="S5" s="1207"/>
      <c r="T5" s="1207"/>
      <c r="U5" s="1207"/>
      <c r="V5" s="1207"/>
      <c r="W5" s="1207"/>
      <c r="X5" s="1207"/>
      <c r="Y5" s="1207"/>
      <c r="Z5" s="1207"/>
    </row>
    <row r="6" spans="1:257">
      <c r="B6" s="1214" t="s">
        <v>1124</v>
      </c>
      <c r="C6" s="1215">
        <v>3</v>
      </c>
      <c r="D6" s="1216">
        <f ca="1">INDIRECT("g"&amp;$J$1)</f>
        <v>3.85</v>
      </c>
      <c r="E6" s="1217">
        <v>3</v>
      </c>
      <c r="F6" s="1218">
        <f ca="1">INDIRECT("s"&amp;$L$1)</f>
        <v>2.75</v>
      </c>
      <c r="G6" s="1207"/>
      <c r="H6" s="1207"/>
      <c r="I6" s="1207"/>
      <c r="J6" s="1207"/>
      <c r="L6" s="1207"/>
      <c r="M6" s="1207"/>
      <c r="N6" s="1207"/>
      <c r="O6" s="1207"/>
      <c r="P6" s="1207"/>
      <c r="Q6" s="1207"/>
      <c r="R6" s="1207"/>
      <c r="S6" s="1207"/>
      <c r="T6" s="1207"/>
      <c r="U6" s="1207"/>
      <c r="V6" s="1207"/>
      <c r="W6" s="1207"/>
      <c r="X6" s="1207"/>
      <c r="Y6" s="1207"/>
      <c r="Z6" s="1207"/>
    </row>
    <row r="7" spans="1:257" ht="14.25" thickBot="1">
      <c r="B7" s="1219" t="s">
        <v>1125</v>
      </c>
      <c r="C7" s="1220">
        <v>5</v>
      </c>
      <c r="D7" s="1221">
        <f ca="1">INDIRECT("h"&amp;$J$1)</f>
        <v>4.6500000000000004</v>
      </c>
      <c r="E7" s="1222">
        <v>5</v>
      </c>
      <c r="F7" s="1223">
        <f ca="1">INDIRECT("t"&amp;$L$1)</f>
        <v>0</v>
      </c>
      <c r="G7" s="1207"/>
      <c r="H7" s="1207"/>
      <c r="I7" s="1207"/>
      <c r="J7" s="1207"/>
      <c r="L7" s="1207"/>
      <c r="M7" s="1207"/>
      <c r="N7" s="1207"/>
      <c r="O7" s="1207"/>
      <c r="P7" s="1207"/>
      <c r="Q7" s="1207"/>
      <c r="R7" s="1207"/>
      <c r="S7" s="1207"/>
      <c r="T7" s="1207"/>
      <c r="U7" s="1207"/>
      <c r="V7" s="1207"/>
      <c r="W7" s="1207"/>
      <c r="X7" s="1207"/>
      <c r="Y7" s="1207"/>
      <c r="Z7" s="1207"/>
    </row>
    <row r="8" spans="1:257">
      <c r="A8" s="1224"/>
      <c r="B8" s="1225"/>
      <c r="C8" s="1226"/>
      <c r="D8" s="1207"/>
      <c r="E8" s="1207"/>
      <c r="F8" s="1207"/>
      <c r="G8" s="1207"/>
      <c r="H8" s="1207"/>
      <c r="I8" s="1207"/>
      <c r="J8" s="1207"/>
      <c r="L8" s="1207"/>
      <c r="M8" s="1207"/>
      <c r="N8" s="1207"/>
      <c r="O8" s="1207"/>
      <c r="P8" s="1207"/>
      <c r="Q8" s="1207"/>
      <c r="R8" s="1207"/>
      <c r="S8" s="1207"/>
      <c r="T8" s="1207"/>
      <c r="U8" s="1207"/>
      <c r="V8" s="1207"/>
      <c r="W8" s="1207"/>
      <c r="X8" s="1207"/>
      <c r="Y8" s="1207"/>
      <c r="Z8" s="1207"/>
    </row>
    <row r="9" spans="1:257" ht="20.25">
      <c r="A9" s="1227"/>
      <c r="B9" s="1228" t="s">
        <v>1126</v>
      </c>
      <c r="C9" s="1229"/>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c r="CL9" s="1231"/>
      <c r="CM9" s="1231"/>
      <c r="CN9" s="1231"/>
      <c r="CO9" s="1231"/>
      <c r="CP9" s="1231"/>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1"/>
      <c r="EJ9" s="1231"/>
      <c r="EK9" s="1231"/>
      <c r="EL9" s="1231"/>
      <c r="EM9" s="1231"/>
      <c r="EN9" s="1231"/>
      <c r="EO9" s="1231"/>
      <c r="EP9" s="1231"/>
      <c r="EQ9" s="1231"/>
      <c r="ER9" s="1231"/>
      <c r="ES9" s="1231"/>
      <c r="ET9" s="1231"/>
      <c r="EU9" s="1231"/>
      <c r="EV9" s="1231"/>
      <c r="EW9" s="1231"/>
      <c r="EX9" s="1231"/>
      <c r="EY9" s="1231"/>
      <c r="EZ9" s="1231"/>
      <c r="FA9" s="1231"/>
      <c r="FB9" s="1231"/>
      <c r="FC9" s="1231"/>
      <c r="FD9" s="1231"/>
      <c r="FE9" s="1231"/>
      <c r="FF9" s="1231"/>
      <c r="FG9" s="1231"/>
      <c r="FH9" s="1231"/>
      <c r="FI9" s="1231"/>
      <c r="FJ9" s="1231"/>
      <c r="FK9" s="1231"/>
      <c r="FL9" s="1231"/>
      <c r="FM9" s="1231"/>
      <c r="FN9" s="1231"/>
      <c r="FO9" s="1231"/>
      <c r="FP9" s="1231"/>
      <c r="FQ9" s="1231"/>
      <c r="FR9" s="1231"/>
      <c r="FS9" s="1231"/>
      <c r="FT9" s="1231"/>
      <c r="FU9" s="1231"/>
      <c r="FV9" s="1231"/>
      <c r="FW9" s="1231"/>
      <c r="FX9" s="1231"/>
      <c r="FY9" s="1231"/>
      <c r="FZ9" s="1231"/>
      <c r="GA9" s="1231"/>
      <c r="GB9" s="1231"/>
      <c r="GC9" s="1231"/>
      <c r="GD9" s="1231"/>
      <c r="GE9" s="1231"/>
      <c r="GF9" s="1231"/>
      <c r="GG9" s="1231"/>
      <c r="GH9" s="1231"/>
      <c r="GI9" s="1231"/>
      <c r="GJ9" s="1231"/>
      <c r="GK9" s="1231"/>
      <c r="GL9" s="1231"/>
      <c r="GM9" s="1231"/>
      <c r="GN9" s="1231"/>
      <c r="GO9" s="1231"/>
      <c r="GP9" s="1231"/>
      <c r="GQ9" s="1231"/>
      <c r="GR9" s="1231"/>
      <c r="GS9" s="1231"/>
      <c r="GT9" s="1231"/>
      <c r="GU9" s="1231"/>
      <c r="GV9" s="1231"/>
      <c r="GW9" s="1231"/>
      <c r="GX9" s="1231"/>
      <c r="GY9" s="1231"/>
      <c r="GZ9" s="1231"/>
      <c r="HA9" s="1231"/>
      <c r="HB9" s="1231"/>
      <c r="HC9" s="1231"/>
      <c r="HD9" s="1231"/>
      <c r="HE9" s="1231"/>
      <c r="HF9" s="1231"/>
      <c r="HG9" s="1231"/>
      <c r="HH9" s="1231"/>
      <c r="HI9" s="1231"/>
      <c r="HJ9" s="1231"/>
      <c r="HK9" s="1231"/>
      <c r="HL9" s="1231"/>
      <c r="HM9" s="1231"/>
      <c r="HN9" s="1231"/>
      <c r="HO9" s="1231"/>
      <c r="HP9" s="1231"/>
      <c r="HQ9" s="1231"/>
      <c r="HR9" s="1231"/>
      <c r="HS9" s="1231"/>
      <c r="HT9" s="1231"/>
      <c r="HU9" s="1231"/>
      <c r="HV9" s="1231"/>
      <c r="HW9" s="1231"/>
      <c r="HX9" s="1231"/>
      <c r="HY9" s="1231"/>
      <c r="HZ9" s="1231"/>
      <c r="IA9" s="1231"/>
      <c r="IB9" s="1231"/>
      <c r="IC9" s="1231"/>
      <c r="ID9" s="1231"/>
      <c r="IE9" s="1231"/>
      <c r="IF9" s="1231"/>
      <c r="IG9" s="1231"/>
      <c r="IH9" s="1231"/>
      <c r="II9" s="1231"/>
      <c r="IJ9" s="1231"/>
      <c r="IK9" s="1231"/>
      <c r="IL9" s="1231"/>
      <c r="IM9" s="1231"/>
      <c r="IN9" s="1231"/>
      <c r="IO9" s="1231"/>
      <c r="IP9" s="1231"/>
      <c r="IQ9" s="1231"/>
      <c r="IR9" s="1231"/>
      <c r="IS9" s="1231"/>
      <c r="IT9" s="1231"/>
      <c r="IU9" s="1231"/>
      <c r="IV9" s="1231"/>
      <c r="IW9" s="1232"/>
    </row>
    <row r="10" spans="1:257" ht="22.5">
      <c r="A10" s="1233"/>
      <c r="B10" s="1234" t="s">
        <v>1127</v>
      </c>
      <c r="C10" s="1233"/>
      <c r="D10" s="1233"/>
      <c r="E10" s="1233"/>
      <c r="F10" s="1233"/>
      <c r="G10" s="1233"/>
      <c r="H10" s="1233"/>
      <c r="I10" s="1207"/>
      <c r="J10" s="1207"/>
      <c r="K10" s="1233"/>
      <c r="L10" s="1234" t="s">
        <v>1128</v>
      </c>
      <c r="M10" s="1233"/>
      <c r="N10" s="1233"/>
      <c r="O10" s="1233"/>
      <c r="P10" s="1233"/>
      <c r="Q10" s="1233"/>
      <c r="R10" s="1233"/>
      <c r="S10" s="1233"/>
      <c r="T10" s="1233"/>
      <c r="U10" s="1233"/>
      <c r="V10" s="1233"/>
      <c r="W10" s="1233"/>
      <c r="X10" s="1233"/>
      <c r="Y10" s="1233"/>
      <c r="Z10" s="1233"/>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c r="BN10" s="1235"/>
      <c r="BO10" s="1235"/>
      <c r="BP10" s="1235"/>
      <c r="BQ10" s="1235"/>
      <c r="BR10" s="1235"/>
      <c r="BS10" s="1235"/>
      <c r="BT10" s="1235"/>
      <c r="BU10" s="1235"/>
      <c r="BV10" s="1235"/>
      <c r="BW10" s="1235"/>
      <c r="BX10" s="1235"/>
      <c r="BY10" s="1235"/>
      <c r="BZ10" s="1235"/>
      <c r="CA10" s="123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c r="DM10" s="1235"/>
      <c r="DN10" s="1235"/>
      <c r="DO10" s="1235"/>
      <c r="DP10" s="1235"/>
      <c r="DQ10" s="1235"/>
      <c r="DR10" s="1235"/>
      <c r="DS10" s="1235"/>
      <c r="DT10" s="1235"/>
      <c r="DU10" s="1235"/>
      <c r="DV10" s="1235"/>
      <c r="DW10" s="1235"/>
      <c r="DX10" s="1235"/>
      <c r="DY10" s="1235"/>
      <c r="DZ10" s="1235"/>
      <c r="EA10" s="1235"/>
      <c r="EB10" s="1235"/>
      <c r="EC10" s="1235"/>
      <c r="ED10" s="1235"/>
      <c r="EE10" s="1235"/>
      <c r="EF10" s="1235"/>
      <c r="EG10" s="1235"/>
      <c r="EH10" s="1235"/>
      <c r="EI10" s="1235"/>
      <c r="EJ10" s="1235"/>
      <c r="EK10" s="1235"/>
      <c r="EL10" s="1235"/>
      <c r="EM10" s="1235"/>
      <c r="EN10" s="1235"/>
      <c r="EO10" s="1235"/>
      <c r="EP10" s="1235"/>
      <c r="EQ10" s="1235"/>
      <c r="ER10" s="1235"/>
      <c r="ES10" s="1235"/>
      <c r="ET10" s="1235"/>
      <c r="EU10" s="1235"/>
      <c r="EV10" s="1235"/>
      <c r="EW10" s="1235"/>
      <c r="EX10" s="1235"/>
      <c r="EY10" s="1235"/>
      <c r="EZ10" s="1235"/>
      <c r="FA10" s="1235"/>
      <c r="FB10" s="1235"/>
      <c r="FC10" s="1235"/>
      <c r="FD10" s="1235"/>
      <c r="FE10" s="1235"/>
      <c r="FF10" s="1235"/>
      <c r="FG10" s="1235"/>
      <c r="FH10" s="1235"/>
      <c r="FI10" s="1235"/>
      <c r="FJ10" s="1235"/>
      <c r="FK10" s="1235"/>
      <c r="FL10" s="1235"/>
      <c r="FM10" s="1235"/>
      <c r="FN10" s="1235"/>
      <c r="FO10" s="1235"/>
      <c r="FP10" s="1235"/>
      <c r="FQ10" s="1235"/>
      <c r="FR10" s="1235"/>
      <c r="FS10" s="1235"/>
      <c r="FT10" s="1235"/>
      <c r="FU10" s="1235"/>
      <c r="FV10" s="1235"/>
      <c r="FW10" s="1235"/>
      <c r="FX10" s="1235"/>
      <c r="FY10" s="1235"/>
      <c r="FZ10" s="1235"/>
      <c r="GA10" s="1235"/>
      <c r="GB10" s="1235"/>
      <c r="GC10" s="1235"/>
      <c r="GD10" s="1235"/>
      <c r="GE10" s="1235"/>
      <c r="GF10" s="1235"/>
      <c r="GG10" s="1235"/>
      <c r="GH10" s="1235"/>
      <c r="GI10" s="1235"/>
      <c r="GJ10" s="1235"/>
      <c r="GK10" s="1235"/>
      <c r="GL10" s="1235"/>
      <c r="GM10" s="1235"/>
      <c r="GN10" s="1235"/>
      <c r="GO10" s="1235"/>
      <c r="GP10" s="1235"/>
      <c r="GQ10" s="1235"/>
      <c r="GR10" s="1235"/>
      <c r="GS10" s="1235"/>
      <c r="GT10" s="1235"/>
      <c r="GU10" s="1235"/>
      <c r="GV10" s="1235"/>
      <c r="GW10" s="1235"/>
      <c r="GX10" s="1235"/>
      <c r="GY10" s="1235"/>
      <c r="GZ10" s="1235"/>
      <c r="HA10" s="1235"/>
      <c r="HB10" s="1235"/>
      <c r="HC10" s="1235"/>
      <c r="HD10" s="1235"/>
      <c r="HE10" s="1235"/>
      <c r="HF10" s="1235"/>
      <c r="HG10" s="1235"/>
      <c r="HH10" s="1235"/>
      <c r="HI10" s="1235"/>
      <c r="HJ10" s="1235"/>
      <c r="HK10" s="1235"/>
      <c r="HL10" s="1235"/>
      <c r="HM10" s="1235"/>
      <c r="HN10" s="1235"/>
      <c r="HO10" s="1235"/>
      <c r="HP10" s="1235"/>
      <c r="HQ10" s="1235"/>
      <c r="HR10" s="1235"/>
      <c r="HS10" s="1235"/>
      <c r="HT10" s="1235"/>
      <c r="HU10" s="1235"/>
      <c r="HV10" s="1235"/>
      <c r="HW10" s="1235"/>
      <c r="HX10" s="1235"/>
      <c r="HY10" s="1235"/>
      <c r="HZ10" s="1235"/>
      <c r="IA10" s="1235"/>
      <c r="IB10" s="1235"/>
      <c r="IC10" s="1235"/>
      <c r="ID10" s="1235"/>
      <c r="IE10" s="1235"/>
      <c r="IF10" s="1235"/>
      <c r="IG10" s="1235"/>
      <c r="IH10" s="1235"/>
      <c r="II10" s="1235"/>
      <c r="IJ10" s="1235"/>
      <c r="IK10" s="1235"/>
      <c r="IL10" s="1235"/>
      <c r="IM10" s="1235"/>
      <c r="IN10" s="1235"/>
      <c r="IO10" s="1235"/>
      <c r="IP10" s="1235"/>
      <c r="IQ10" s="1235"/>
      <c r="IR10" s="1235"/>
      <c r="IS10" s="1235"/>
      <c r="IT10" s="1235"/>
      <c r="IU10" s="1235"/>
      <c r="IV10" s="1235"/>
    </row>
    <row r="11" spans="1:257">
      <c r="A11" s="1236"/>
      <c r="B11" s="1237" t="s">
        <v>1129</v>
      </c>
      <c r="C11" s="1238" t="s">
        <v>1130</v>
      </c>
      <c r="D11" s="1239" t="s">
        <v>1131</v>
      </c>
      <c r="E11" s="1240"/>
      <c r="F11" s="1239" t="s">
        <v>1132</v>
      </c>
      <c r="G11" s="1241"/>
      <c r="H11" s="1240"/>
      <c r="I11" s="1239" t="s">
        <v>1133</v>
      </c>
      <c r="J11" s="1240"/>
      <c r="K11" s="1236"/>
      <c r="L11" s="1237" t="s">
        <v>1129</v>
      </c>
      <c r="M11" s="1238" t="s">
        <v>1130</v>
      </c>
      <c r="N11" s="1237" t="s">
        <v>1134</v>
      </c>
      <c r="O11" s="1239" t="s">
        <v>1135</v>
      </c>
      <c r="P11" s="1241"/>
      <c r="Q11" s="1241"/>
      <c r="R11" s="1241"/>
      <c r="S11" s="1241"/>
      <c r="T11" s="1240"/>
      <c r="U11" s="1239" t="s">
        <v>1136</v>
      </c>
      <c r="V11" s="1241"/>
      <c r="W11" s="1240"/>
      <c r="X11" s="1237" t="s">
        <v>1137</v>
      </c>
      <c r="Y11" s="1237" t="s">
        <v>1138</v>
      </c>
      <c r="Z11" s="1237" t="s">
        <v>1139</v>
      </c>
      <c r="AA11" s="1242"/>
      <c r="AB11" s="1242"/>
      <c r="AC11" s="1242"/>
      <c r="AD11" s="1242"/>
      <c r="AE11" s="1242"/>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2"/>
      <c r="CS11" s="1242"/>
      <c r="CT11" s="1242"/>
      <c r="CU11" s="1242"/>
      <c r="CV11" s="1242"/>
      <c r="CW11" s="1242"/>
      <c r="CX11" s="1242"/>
      <c r="CY11" s="1242"/>
      <c r="CZ11" s="1242"/>
      <c r="DA11" s="1242"/>
      <c r="DB11" s="1242"/>
      <c r="DC11" s="1242"/>
      <c r="DD11" s="1242"/>
      <c r="DE11" s="1242"/>
      <c r="DF11" s="1242"/>
      <c r="DG11" s="1242"/>
      <c r="DH11" s="1242"/>
      <c r="DI11" s="1242"/>
      <c r="DJ11" s="1242"/>
      <c r="DK11" s="1242"/>
      <c r="DL11" s="1242"/>
      <c r="DM11" s="1242"/>
      <c r="DN11" s="1242"/>
      <c r="DO11" s="1242"/>
      <c r="DP11" s="1242"/>
      <c r="DQ11" s="1242"/>
      <c r="DR11" s="1242"/>
      <c r="DS11" s="1242"/>
      <c r="DT11" s="1242"/>
      <c r="DU11" s="1242"/>
      <c r="DV11" s="1242"/>
      <c r="DW11" s="1242"/>
      <c r="DX11" s="1242"/>
      <c r="DY11" s="1242"/>
      <c r="DZ11" s="1242"/>
      <c r="EA11" s="1242"/>
      <c r="EB11" s="1242"/>
      <c r="EC11" s="1242"/>
      <c r="ED11" s="1242"/>
      <c r="EE11" s="1242"/>
      <c r="EF11" s="1242"/>
      <c r="EG11" s="1242"/>
      <c r="EH11" s="1242"/>
      <c r="EI11" s="1242"/>
      <c r="EJ11" s="1242"/>
      <c r="EK11" s="1242"/>
      <c r="EL11" s="1242"/>
      <c r="EM11" s="1242"/>
      <c r="EN11" s="1242"/>
      <c r="EO11" s="1242"/>
      <c r="EP11" s="1242"/>
      <c r="EQ11" s="1242"/>
      <c r="ER11" s="1242"/>
      <c r="ES11" s="1242"/>
      <c r="ET11" s="1242"/>
      <c r="EU11" s="1242"/>
      <c r="EV11" s="1242"/>
      <c r="EW11" s="1242"/>
      <c r="EX11" s="1242"/>
      <c r="EY11" s="1242"/>
      <c r="EZ11" s="1242"/>
      <c r="FA11" s="1242"/>
      <c r="FB11" s="1242"/>
      <c r="FC11" s="1242"/>
      <c r="FD11" s="1242"/>
      <c r="FE11" s="1242"/>
      <c r="FF11" s="1242"/>
      <c r="FG11" s="1242"/>
      <c r="FH11" s="1242"/>
      <c r="FI11" s="1242"/>
      <c r="FJ11" s="1242"/>
      <c r="FK11" s="1242"/>
      <c r="FL11" s="1242"/>
      <c r="FM11" s="1242"/>
      <c r="FN11" s="1242"/>
      <c r="FO11" s="1242"/>
      <c r="FP11" s="1242"/>
      <c r="FQ11" s="1242"/>
      <c r="FR11" s="1242"/>
      <c r="FS11" s="1242"/>
      <c r="FT11" s="1242"/>
      <c r="FU11" s="1242"/>
      <c r="FV11" s="1242"/>
      <c r="FW11" s="1242"/>
      <c r="FX11" s="1242"/>
      <c r="FY11" s="1242"/>
      <c r="FZ11" s="1242"/>
      <c r="GA11" s="1242"/>
      <c r="GB11" s="1242"/>
      <c r="GC11" s="1242"/>
      <c r="GD11" s="1242"/>
      <c r="GE11" s="1242"/>
      <c r="GF11" s="1242"/>
      <c r="GG11" s="1242"/>
      <c r="GH11" s="1242"/>
      <c r="GI11" s="1242"/>
      <c r="GJ11" s="1242"/>
      <c r="GK11" s="1242"/>
      <c r="GL11" s="1242"/>
      <c r="GM11" s="1242"/>
      <c r="GN11" s="1242"/>
      <c r="GO11" s="1242"/>
      <c r="GP11" s="1242"/>
      <c r="GQ11" s="1242"/>
      <c r="GR11" s="1242"/>
      <c r="GS11" s="1242"/>
      <c r="GT11" s="1242"/>
      <c r="GU11" s="1242"/>
      <c r="GV11" s="1242"/>
      <c r="GW11" s="1242"/>
      <c r="GX11" s="1242"/>
      <c r="GY11" s="1242"/>
      <c r="GZ11" s="1242"/>
      <c r="HA11" s="1242"/>
      <c r="HB11" s="1242"/>
      <c r="HC11" s="1242"/>
      <c r="HD11" s="1242"/>
      <c r="HE11" s="1242"/>
      <c r="HF11" s="1242"/>
      <c r="HG11" s="1242"/>
      <c r="HH11" s="1242"/>
      <c r="HI11" s="1242"/>
      <c r="HJ11" s="1242"/>
      <c r="HK11" s="1242"/>
      <c r="HL11" s="1242"/>
      <c r="HM11" s="1242"/>
      <c r="HN11" s="1242"/>
      <c r="HO11" s="1242"/>
      <c r="HP11" s="1242"/>
      <c r="HQ11" s="1242"/>
      <c r="HR11" s="1242"/>
      <c r="HS11" s="1242"/>
      <c r="HT11" s="1242"/>
      <c r="HU11" s="1242"/>
      <c r="HV11" s="1242"/>
      <c r="HW11" s="1242"/>
      <c r="HX11" s="1242"/>
      <c r="HY11" s="1242"/>
      <c r="HZ11" s="1242"/>
      <c r="IA11" s="1242"/>
      <c r="IB11" s="1242"/>
      <c r="IC11" s="1242"/>
      <c r="ID11" s="1242"/>
      <c r="IE11" s="1242"/>
      <c r="IF11" s="1242"/>
      <c r="IG11" s="1242"/>
      <c r="IH11" s="1242"/>
      <c r="II11" s="1242"/>
      <c r="IJ11" s="1242"/>
      <c r="IK11" s="1242"/>
      <c r="IL11" s="1242"/>
      <c r="IM11" s="1242"/>
      <c r="IN11" s="1242"/>
      <c r="IO11" s="1242"/>
      <c r="IP11" s="1242"/>
      <c r="IQ11" s="1242"/>
      <c r="IR11" s="1242"/>
      <c r="IS11" s="1242"/>
      <c r="IT11" s="1242"/>
      <c r="IU11" s="1242"/>
      <c r="IV11" s="1242"/>
    </row>
    <row r="12" spans="1:257">
      <c r="A12" s="1243"/>
      <c r="B12" s="1244"/>
      <c r="C12" s="1245"/>
      <c r="D12" s="1246" t="s">
        <v>1140</v>
      </c>
      <c r="E12" s="1246" t="s">
        <v>1141</v>
      </c>
      <c r="F12" s="1246" t="s">
        <v>1142</v>
      </c>
      <c r="G12" s="1246" t="s">
        <v>1143</v>
      </c>
      <c r="H12" s="1246" t="s">
        <v>1125</v>
      </c>
      <c r="I12" s="1247" t="s">
        <v>1144</v>
      </c>
      <c r="J12" s="1247" t="s">
        <v>1144</v>
      </c>
      <c r="K12" s="1243"/>
      <c r="L12" s="1244"/>
      <c r="M12" s="1245"/>
      <c r="N12" s="1244"/>
      <c r="O12" s="1247" t="s">
        <v>1145</v>
      </c>
      <c r="P12" s="1247">
        <v>0.5</v>
      </c>
      <c r="Q12" s="1247">
        <v>1</v>
      </c>
      <c r="R12" s="1247">
        <v>2</v>
      </c>
      <c r="S12" s="1247">
        <v>3</v>
      </c>
      <c r="T12" s="1247">
        <v>5</v>
      </c>
      <c r="U12" s="1247">
        <v>1</v>
      </c>
      <c r="V12" s="1247">
        <v>3</v>
      </c>
      <c r="W12" s="1247">
        <v>5</v>
      </c>
      <c r="X12" s="1244"/>
      <c r="Y12" s="1244"/>
      <c r="Z12" s="1244"/>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c r="BD12" s="1248"/>
      <c r="BE12" s="1248"/>
      <c r="BF12" s="1248"/>
      <c r="BG12" s="1248"/>
      <c r="BH12" s="1248"/>
      <c r="BI12" s="1248"/>
      <c r="BJ12" s="1248"/>
      <c r="BK12" s="1248"/>
      <c r="BL12" s="1248"/>
      <c r="BM12" s="1248"/>
      <c r="BN12" s="1248"/>
      <c r="BO12" s="1248"/>
      <c r="BP12" s="1248"/>
      <c r="BQ12" s="1248"/>
      <c r="BR12" s="1248"/>
      <c r="BS12" s="1248"/>
      <c r="BT12" s="1248"/>
      <c r="BU12" s="1248"/>
      <c r="BV12" s="1248"/>
      <c r="BW12" s="1248"/>
      <c r="BX12" s="1248"/>
      <c r="BY12" s="1248"/>
      <c r="BZ12" s="1248"/>
      <c r="CA12" s="1248"/>
      <c r="CB12" s="1248"/>
      <c r="CC12" s="1248"/>
      <c r="CD12" s="1248"/>
      <c r="CE12" s="1248"/>
      <c r="CF12" s="1248"/>
      <c r="CG12" s="1248"/>
      <c r="CH12" s="1248"/>
      <c r="CI12" s="1248"/>
      <c r="CJ12" s="1248"/>
      <c r="CK12" s="1248"/>
      <c r="CL12" s="1248"/>
      <c r="CM12" s="1248"/>
      <c r="CN12" s="1248"/>
      <c r="CO12" s="1248"/>
      <c r="CP12" s="1248"/>
      <c r="CQ12" s="1248"/>
      <c r="CR12" s="1248"/>
      <c r="CS12" s="1248"/>
      <c r="CT12" s="1248"/>
      <c r="CU12" s="1248"/>
      <c r="CV12" s="1248"/>
      <c r="CW12" s="1248"/>
      <c r="CX12" s="1248"/>
      <c r="CY12" s="1248"/>
      <c r="CZ12" s="1248"/>
      <c r="DA12" s="1248"/>
      <c r="DB12" s="1248"/>
      <c r="DC12" s="1248"/>
      <c r="DD12" s="1248"/>
      <c r="DE12" s="1248"/>
      <c r="DF12" s="1248"/>
      <c r="DG12" s="1248"/>
      <c r="DH12" s="1248"/>
      <c r="DI12" s="1248"/>
      <c r="DJ12" s="1248"/>
      <c r="DK12" s="1248"/>
      <c r="DL12" s="1248"/>
      <c r="DM12" s="1248"/>
      <c r="DN12" s="1248"/>
      <c r="DO12" s="1248"/>
      <c r="DP12" s="1248"/>
      <c r="DQ12" s="1248"/>
      <c r="DR12" s="1248"/>
      <c r="DS12" s="1248"/>
      <c r="DT12" s="1248"/>
      <c r="DU12" s="1248"/>
      <c r="DV12" s="1248"/>
      <c r="DW12" s="1248"/>
      <c r="DX12" s="1248"/>
      <c r="DY12" s="1248"/>
      <c r="DZ12" s="1248"/>
      <c r="EA12" s="1248"/>
      <c r="EB12" s="1248"/>
      <c r="EC12" s="1248"/>
      <c r="ED12" s="1248"/>
      <c r="EE12" s="1248"/>
      <c r="EF12" s="1248"/>
      <c r="EG12" s="1248"/>
      <c r="EH12" s="1248"/>
      <c r="EI12" s="1248"/>
      <c r="EJ12" s="1248"/>
      <c r="EK12" s="1248"/>
      <c r="EL12" s="1248"/>
      <c r="EM12" s="1248"/>
      <c r="EN12" s="1248"/>
      <c r="EO12" s="1248"/>
      <c r="EP12" s="1248"/>
      <c r="EQ12" s="1248"/>
      <c r="ER12" s="1248"/>
      <c r="ES12" s="1248"/>
      <c r="ET12" s="1248"/>
      <c r="EU12" s="1248"/>
      <c r="EV12" s="1248"/>
      <c r="EW12" s="1248"/>
      <c r="EX12" s="1248"/>
      <c r="EY12" s="1248"/>
      <c r="EZ12" s="1248"/>
      <c r="FA12" s="1248"/>
      <c r="FB12" s="1248"/>
      <c r="FC12" s="1248"/>
      <c r="FD12" s="1248"/>
      <c r="FE12" s="1248"/>
      <c r="FF12" s="1248"/>
      <c r="FG12" s="1248"/>
      <c r="FH12" s="1248"/>
      <c r="FI12" s="1248"/>
      <c r="FJ12" s="1248"/>
      <c r="FK12" s="1248"/>
      <c r="FL12" s="1248"/>
      <c r="FM12" s="1248"/>
      <c r="FN12" s="1248"/>
      <c r="FO12" s="1248"/>
      <c r="FP12" s="1248"/>
      <c r="FQ12" s="1248"/>
      <c r="FR12" s="1248"/>
      <c r="FS12" s="1248"/>
      <c r="FT12" s="1248"/>
      <c r="FU12" s="1248"/>
      <c r="FV12" s="1248"/>
      <c r="FW12" s="1248"/>
      <c r="FX12" s="1248"/>
      <c r="FY12" s="1248"/>
      <c r="FZ12" s="1248"/>
      <c r="GA12" s="1248"/>
      <c r="GB12" s="1248"/>
      <c r="GC12" s="1248"/>
      <c r="GD12" s="1248"/>
      <c r="GE12" s="1248"/>
      <c r="GF12" s="1248"/>
      <c r="GG12" s="1248"/>
      <c r="GH12" s="1248"/>
      <c r="GI12" s="1248"/>
      <c r="GJ12" s="1248"/>
      <c r="GK12" s="1248"/>
      <c r="GL12" s="1248"/>
      <c r="GM12" s="1248"/>
      <c r="GN12" s="1248"/>
      <c r="GO12" s="1248"/>
      <c r="GP12" s="1248"/>
      <c r="GQ12" s="1248"/>
      <c r="GR12" s="1248"/>
      <c r="GS12" s="1248"/>
      <c r="GT12" s="1248"/>
      <c r="GU12" s="1248"/>
      <c r="GV12" s="1248"/>
      <c r="GW12" s="1248"/>
      <c r="GX12" s="1248"/>
      <c r="GY12" s="1248"/>
      <c r="GZ12" s="1248"/>
      <c r="HA12" s="1248"/>
      <c r="HB12" s="1248"/>
      <c r="HC12" s="1248"/>
      <c r="HD12" s="1248"/>
      <c r="HE12" s="1248"/>
      <c r="HF12" s="1248"/>
      <c r="HG12" s="1248"/>
      <c r="HH12" s="1248"/>
      <c r="HI12" s="1248"/>
      <c r="HJ12" s="1248"/>
      <c r="HK12" s="1248"/>
      <c r="HL12" s="1248"/>
      <c r="HM12" s="1248"/>
      <c r="HN12" s="1248"/>
      <c r="HO12" s="1248"/>
      <c r="HP12" s="1248"/>
      <c r="HQ12" s="1248"/>
      <c r="HR12" s="1248"/>
      <c r="HS12" s="1248"/>
      <c r="HT12" s="1248"/>
      <c r="HU12" s="1248"/>
      <c r="HV12" s="1248"/>
      <c r="HW12" s="1248"/>
      <c r="HX12" s="1248"/>
      <c r="HY12" s="1248"/>
      <c r="HZ12" s="1248"/>
      <c r="IA12" s="1248"/>
      <c r="IB12" s="1248"/>
      <c r="IC12" s="1248"/>
      <c r="ID12" s="1248"/>
      <c r="IE12" s="1248"/>
      <c r="IF12" s="1248"/>
      <c r="IG12" s="1248"/>
      <c r="IH12" s="1248"/>
      <c r="II12" s="1248"/>
      <c r="IJ12" s="1248"/>
      <c r="IK12" s="1248"/>
      <c r="IL12" s="1248"/>
      <c r="IM12" s="1248"/>
      <c r="IN12" s="1248"/>
      <c r="IO12" s="1248"/>
      <c r="IP12" s="1248"/>
      <c r="IQ12" s="1248"/>
      <c r="IR12" s="1248"/>
      <c r="IS12" s="1248"/>
      <c r="IT12" s="1248"/>
      <c r="IU12" s="1248"/>
      <c r="IV12" s="1248"/>
    </row>
    <row r="13" spans="1:257" ht="14.25">
      <c r="A13" s="1249"/>
      <c r="B13" s="1250" t="s">
        <v>1146</v>
      </c>
      <c r="C13" s="1251">
        <v>43941</v>
      </c>
      <c r="D13" s="1252">
        <v>3.85</v>
      </c>
      <c r="E13" s="1252">
        <f>D13</f>
        <v>3.85</v>
      </c>
      <c r="F13" s="1252">
        <f>D13</f>
        <v>3.85</v>
      </c>
      <c r="G13" s="1252">
        <f>D13</f>
        <v>3.85</v>
      </c>
      <c r="H13" s="1252">
        <v>4.6500000000000004</v>
      </c>
      <c r="I13" s="1252"/>
      <c r="J13" s="1252"/>
      <c r="K13" s="1249"/>
      <c r="L13" s="1250" t="s">
        <v>1146</v>
      </c>
      <c r="M13" s="1253">
        <v>42301</v>
      </c>
      <c r="N13" s="1252">
        <v>0.35</v>
      </c>
      <c r="O13" s="1252">
        <v>1.1000000000000001</v>
      </c>
      <c r="P13" s="1252">
        <v>1.3</v>
      </c>
      <c r="Q13" s="1252">
        <v>1.5</v>
      </c>
      <c r="R13" s="1252">
        <v>2.1</v>
      </c>
      <c r="S13" s="1252">
        <v>2.75</v>
      </c>
      <c r="T13" s="1252"/>
      <c r="U13" s="1252"/>
      <c r="V13" s="1252"/>
      <c r="W13" s="1252"/>
      <c r="X13" s="1252"/>
      <c r="Y13" s="1252"/>
      <c r="Z13" s="1252"/>
      <c r="AA13" s="1254"/>
      <c r="AB13" s="1254"/>
      <c r="AC13" s="1254"/>
      <c r="AD13" s="1254"/>
      <c r="AE13" s="1254"/>
      <c r="AF13" s="1254"/>
      <c r="AG13" s="1254"/>
      <c r="AH13" s="1254"/>
      <c r="AI13" s="1254"/>
      <c r="AJ13" s="1254"/>
      <c r="AK13" s="1254"/>
      <c r="AL13" s="1254"/>
      <c r="AM13" s="1254"/>
      <c r="AN13" s="1254"/>
      <c r="AO13" s="1254"/>
      <c r="AP13" s="1254"/>
      <c r="AQ13" s="1254"/>
      <c r="AR13" s="1254"/>
      <c r="AS13" s="1254"/>
      <c r="AT13" s="1254"/>
      <c r="AU13" s="1254"/>
      <c r="AV13" s="1254"/>
      <c r="AW13" s="1254"/>
      <c r="AX13" s="1254"/>
      <c r="AY13" s="1254"/>
      <c r="AZ13" s="1254"/>
      <c r="BA13" s="1254"/>
      <c r="BB13" s="1254"/>
      <c r="BC13" s="1254"/>
      <c r="BD13" s="1254"/>
      <c r="BE13" s="1254"/>
      <c r="BF13" s="1254"/>
      <c r="BG13" s="1254"/>
      <c r="BH13" s="1254"/>
      <c r="BI13" s="1254"/>
      <c r="BJ13" s="1254"/>
      <c r="BK13" s="1254"/>
      <c r="BL13" s="1254"/>
      <c r="BM13" s="1254"/>
      <c r="BN13" s="1254"/>
      <c r="BO13" s="1254"/>
      <c r="BP13" s="1254"/>
      <c r="BQ13" s="1254"/>
      <c r="BR13" s="1254"/>
      <c r="BS13" s="1254"/>
      <c r="BT13" s="1254"/>
      <c r="BU13" s="1254"/>
      <c r="BV13" s="1254"/>
      <c r="BW13" s="1254"/>
      <c r="BX13" s="1254"/>
      <c r="BY13" s="1254"/>
      <c r="BZ13" s="1254"/>
      <c r="CA13" s="1254"/>
      <c r="CB13" s="1254"/>
      <c r="CC13" s="1254"/>
      <c r="CD13" s="1254"/>
      <c r="CE13" s="1254"/>
      <c r="CF13" s="1254"/>
      <c r="CG13" s="1254"/>
      <c r="CH13" s="1254"/>
      <c r="CI13" s="1254"/>
      <c r="CJ13" s="1254"/>
      <c r="CK13" s="1254"/>
      <c r="CL13" s="1254"/>
      <c r="CM13" s="1254"/>
      <c r="CN13" s="1254"/>
      <c r="CO13" s="1254"/>
      <c r="CP13" s="1254"/>
      <c r="CQ13" s="1254"/>
      <c r="CR13" s="1254"/>
      <c r="CS13" s="1254"/>
      <c r="CT13" s="1254"/>
      <c r="CU13" s="1254"/>
      <c r="CV13" s="1254"/>
      <c r="CW13" s="1254"/>
      <c r="CX13" s="1254"/>
      <c r="CY13" s="1254"/>
      <c r="CZ13" s="1254"/>
      <c r="DA13" s="1254"/>
      <c r="DB13" s="1254"/>
      <c r="DC13" s="1254"/>
      <c r="DD13" s="1254"/>
      <c r="DE13" s="1254"/>
      <c r="DF13" s="1254"/>
      <c r="DG13" s="1254"/>
      <c r="DH13" s="1254"/>
      <c r="DI13" s="1254"/>
      <c r="DJ13" s="1254"/>
      <c r="DK13" s="1254"/>
      <c r="DL13" s="1254"/>
      <c r="DM13" s="1254"/>
      <c r="DN13" s="1254"/>
      <c r="DO13" s="1254"/>
      <c r="DP13" s="1254"/>
      <c r="DQ13" s="1254"/>
      <c r="DR13" s="1254"/>
      <c r="DS13" s="1254"/>
      <c r="DT13" s="1254"/>
      <c r="DU13" s="1254"/>
      <c r="DV13" s="1254"/>
      <c r="DW13" s="1254"/>
      <c r="DX13" s="1254"/>
      <c r="DY13" s="1254"/>
      <c r="DZ13" s="1254"/>
      <c r="EA13" s="1254"/>
      <c r="EB13" s="1254"/>
      <c r="EC13" s="1254"/>
      <c r="ED13" s="1254"/>
      <c r="EE13" s="1254"/>
      <c r="EF13" s="1254"/>
      <c r="EG13" s="1254"/>
      <c r="EH13" s="1254"/>
      <c r="EI13" s="1254"/>
      <c r="EJ13" s="1254"/>
      <c r="EK13" s="1254"/>
      <c r="EL13" s="1254"/>
      <c r="EM13" s="1254"/>
      <c r="EN13" s="1254"/>
      <c r="EO13" s="1254"/>
      <c r="EP13" s="1254"/>
      <c r="EQ13" s="1254"/>
      <c r="ER13" s="1254"/>
      <c r="ES13" s="1254"/>
      <c r="ET13" s="1254"/>
      <c r="EU13" s="1254"/>
      <c r="EV13" s="1254"/>
      <c r="EW13" s="1254"/>
      <c r="EX13" s="1254"/>
      <c r="EY13" s="1254"/>
      <c r="EZ13" s="1254"/>
      <c r="FA13" s="1254"/>
      <c r="FB13" s="1254"/>
      <c r="FC13" s="1254"/>
      <c r="FD13" s="1254"/>
      <c r="FE13" s="1254"/>
      <c r="FF13" s="1254"/>
      <c r="FG13" s="1254"/>
      <c r="FH13" s="1254"/>
      <c r="FI13" s="1254"/>
      <c r="FJ13" s="1254"/>
      <c r="FK13" s="1254"/>
      <c r="FL13" s="1254"/>
      <c r="FM13" s="1254"/>
      <c r="FN13" s="1254"/>
      <c r="FO13" s="1254"/>
      <c r="FP13" s="1254"/>
      <c r="FQ13" s="1254"/>
      <c r="FR13" s="1254"/>
      <c r="FS13" s="1254"/>
      <c r="FT13" s="1254"/>
      <c r="FU13" s="1254"/>
      <c r="FV13" s="1254"/>
      <c r="FW13" s="1254"/>
      <c r="FX13" s="1254"/>
      <c r="FY13" s="1254"/>
      <c r="FZ13" s="1254"/>
      <c r="GA13" s="1254"/>
      <c r="GB13" s="1254"/>
      <c r="GC13" s="1254"/>
      <c r="GD13" s="1254"/>
      <c r="GE13" s="1254"/>
      <c r="GF13" s="1254"/>
      <c r="GG13" s="1254"/>
      <c r="GH13" s="1254"/>
      <c r="GI13" s="1254"/>
      <c r="GJ13" s="1254"/>
      <c r="GK13" s="1254"/>
      <c r="GL13" s="1254"/>
      <c r="GM13" s="1254"/>
      <c r="GN13" s="1254"/>
      <c r="GO13" s="1254"/>
      <c r="GP13" s="1254"/>
      <c r="GQ13" s="1254"/>
      <c r="GR13" s="1254"/>
      <c r="GS13" s="1254"/>
      <c r="GT13" s="1254"/>
      <c r="GU13" s="1254"/>
      <c r="GV13" s="1254"/>
      <c r="GW13" s="1254"/>
      <c r="GX13" s="1254"/>
      <c r="GY13" s="1254"/>
      <c r="GZ13" s="1254"/>
      <c r="HA13" s="1254"/>
      <c r="HB13" s="1254"/>
      <c r="HC13" s="1254"/>
      <c r="HD13" s="1254"/>
      <c r="HE13" s="1254"/>
      <c r="HF13" s="1254"/>
      <c r="HG13" s="1254"/>
      <c r="HH13" s="1254"/>
      <c r="HI13" s="1254"/>
      <c r="HJ13" s="1254"/>
      <c r="HK13" s="1254"/>
      <c r="HL13" s="1254"/>
      <c r="HM13" s="1254"/>
      <c r="HN13" s="1254"/>
      <c r="HO13" s="1254"/>
      <c r="HP13" s="1254"/>
      <c r="HQ13" s="1254"/>
      <c r="HR13" s="1254"/>
      <c r="HS13" s="1254"/>
      <c r="HT13" s="1254"/>
      <c r="HU13" s="1254"/>
      <c r="HV13" s="1254"/>
      <c r="HW13" s="1254"/>
      <c r="HX13" s="1254"/>
      <c r="HY13" s="1254"/>
      <c r="HZ13" s="1254"/>
      <c r="IA13" s="1254"/>
      <c r="IB13" s="1254"/>
      <c r="IC13" s="1254"/>
      <c r="ID13" s="1254"/>
      <c r="IE13" s="1254"/>
      <c r="IF13" s="1254"/>
      <c r="IG13" s="1254"/>
      <c r="IH13" s="1254"/>
      <c r="II13" s="1254"/>
      <c r="IJ13" s="1254"/>
      <c r="IK13" s="1254"/>
      <c r="IL13" s="1254"/>
      <c r="IM13" s="1254"/>
      <c r="IN13" s="1254"/>
      <c r="IO13" s="1254"/>
      <c r="IP13" s="1254"/>
      <c r="IQ13" s="1254"/>
      <c r="IR13" s="1254"/>
      <c r="IS13" s="1254"/>
      <c r="IT13" s="1254"/>
      <c r="IU13" s="1254"/>
      <c r="IV13" s="1254"/>
      <c r="IW13" s="1255"/>
    </row>
    <row r="14" spans="1:257">
      <c r="B14" s="1256"/>
      <c r="C14" s="1257">
        <v>43881</v>
      </c>
      <c r="D14" s="1256">
        <v>4.05</v>
      </c>
      <c r="E14" s="1256">
        <f>D14</f>
        <v>4.05</v>
      </c>
      <c r="F14" s="1256">
        <f>D14</f>
        <v>4.05</v>
      </c>
      <c r="G14" s="1256">
        <f>D14</f>
        <v>4.05</v>
      </c>
      <c r="H14" s="1256">
        <v>4.75</v>
      </c>
      <c r="I14" s="1256"/>
      <c r="J14" s="1256"/>
      <c r="L14" s="1256"/>
      <c r="M14" s="1257">
        <v>42301</v>
      </c>
      <c r="N14" s="1256">
        <v>0.35</v>
      </c>
      <c r="O14" s="1256">
        <v>1.1000000000000001</v>
      </c>
      <c r="P14" s="1256">
        <v>1.3</v>
      </c>
      <c r="Q14" s="1256">
        <v>1.5</v>
      </c>
      <c r="R14" s="1256">
        <v>2.1</v>
      </c>
      <c r="S14" s="1256">
        <v>2.75</v>
      </c>
      <c r="T14" s="1256"/>
      <c r="U14" s="1256"/>
      <c r="V14" s="1256"/>
      <c r="W14" s="1256"/>
      <c r="X14" s="1256"/>
      <c r="Y14" s="1256"/>
      <c r="Z14" s="1256"/>
    </row>
    <row r="15" spans="1:257">
      <c r="B15" s="1256"/>
      <c r="C15" s="1257">
        <v>43789</v>
      </c>
      <c r="D15" s="1256">
        <v>4.1500000000000004</v>
      </c>
      <c r="E15" s="1256">
        <f>D15</f>
        <v>4.1500000000000004</v>
      </c>
      <c r="F15" s="1256">
        <f>D15</f>
        <v>4.1500000000000004</v>
      </c>
      <c r="G15" s="1256">
        <f>D15</f>
        <v>4.1500000000000004</v>
      </c>
      <c r="H15" s="1256">
        <v>4.8</v>
      </c>
      <c r="I15" s="1256"/>
      <c r="J15" s="1256"/>
      <c r="L15" s="1256"/>
      <c r="M15" s="1257">
        <v>42242</v>
      </c>
      <c r="N15" s="1256">
        <v>0.35</v>
      </c>
      <c r="O15" s="1256">
        <v>1.35</v>
      </c>
      <c r="P15" s="1256">
        <v>1.55</v>
      </c>
      <c r="Q15" s="1256">
        <v>1.75</v>
      </c>
      <c r="R15" s="1256">
        <v>2.35</v>
      </c>
      <c r="S15" s="1256">
        <v>3</v>
      </c>
      <c r="T15" s="1256"/>
      <c r="U15" s="1256"/>
      <c r="V15" s="1256"/>
      <c r="W15" s="1256"/>
      <c r="X15" s="1256"/>
      <c r="Y15" s="1256"/>
      <c r="Z15" s="1256"/>
    </row>
    <row r="16" spans="1:257">
      <c r="B16" s="1256"/>
      <c r="C16" s="1257">
        <v>43728</v>
      </c>
      <c r="D16" s="1256">
        <v>4.2</v>
      </c>
      <c r="E16" s="1256">
        <f>D16</f>
        <v>4.2</v>
      </c>
      <c r="F16" s="1256">
        <f>D16</f>
        <v>4.2</v>
      </c>
      <c r="G16" s="1256">
        <f>D16</f>
        <v>4.2</v>
      </c>
      <c r="H16" s="1256">
        <v>4.8499999999999996</v>
      </c>
      <c r="I16" s="1256"/>
      <c r="J16" s="1256"/>
      <c r="L16" s="1256"/>
      <c r="M16" s="1257">
        <v>42183</v>
      </c>
      <c r="N16" s="1256">
        <v>0.35</v>
      </c>
      <c r="O16" s="1256">
        <v>1.6</v>
      </c>
      <c r="P16" s="1256">
        <v>1.8</v>
      </c>
      <c r="Q16" s="1256">
        <v>2</v>
      </c>
      <c r="R16" s="1256">
        <v>2.6</v>
      </c>
      <c r="S16" s="1256">
        <v>3.25</v>
      </c>
      <c r="T16" s="1256"/>
      <c r="U16" s="1256"/>
      <c r="V16" s="1256"/>
      <c r="W16" s="1256"/>
      <c r="X16" s="1256"/>
      <c r="Y16" s="1256"/>
      <c r="Z16" s="1256"/>
    </row>
    <row r="17" spans="1:256" s="3121" customFormat="1" ht="14.25">
      <c r="A17" s="3118"/>
      <c r="B17" s="1250" t="s">
        <v>2830</v>
      </c>
      <c r="C17" s="1259">
        <v>43697</v>
      </c>
      <c r="D17" s="3119">
        <v>4.25</v>
      </c>
      <c r="E17" s="3119">
        <f>D17</f>
        <v>4.25</v>
      </c>
      <c r="F17" s="3119">
        <f>D17</f>
        <v>4.25</v>
      </c>
      <c r="G17" s="3119">
        <f>D17</f>
        <v>4.25</v>
      </c>
      <c r="H17" s="3119">
        <v>4.8499999999999996</v>
      </c>
      <c r="I17" s="3119"/>
      <c r="J17" s="3119"/>
      <c r="K17" s="3118"/>
      <c r="L17" s="1256"/>
      <c r="M17" s="1257">
        <v>42135</v>
      </c>
      <c r="N17" s="1256">
        <v>0.35</v>
      </c>
      <c r="O17" s="1256">
        <v>1.85</v>
      </c>
      <c r="P17" s="1256">
        <v>2.0499999999999998</v>
      </c>
      <c r="Q17" s="1256">
        <v>2.25</v>
      </c>
      <c r="R17" s="1256">
        <v>2.85</v>
      </c>
      <c r="S17" s="1256">
        <v>3.5</v>
      </c>
      <c r="T17" s="1256"/>
      <c r="U17" s="1256"/>
      <c r="V17" s="1256"/>
      <c r="W17" s="1256"/>
      <c r="X17" s="1256"/>
      <c r="Y17" s="1256"/>
      <c r="Z17" s="1256"/>
      <c r="AA17" s="3120"/>
      <c r="AB17" s="3120"/>
      <c r="AC17" s="3120"/>
      <c r="AD17" s="3120"/>
      <c r="AE17" s="3120"/>
      <c r="AF17" s="3120"/>
      <c r="AG17" s="3120"/>
      <c r="AH17" s="3120"/>
      <c r="AI17" s="3120"/>
      <c r="AJ17" s="3120"/>
      <c r="AK17" s="3120"/>
      <c r="AL17" s="3120"/>
      <c r="AM17" s="3120"/>
      <c r="AN17" s="3120"/>
      <c r="AO17" s="3120"/>
      <c r="AP17" s="3120"/>
      <c r="AQ17" s="3120"/>
      <c r="AR17" s="3120"/>
      <c r="AS17" s="3120"/>
      <c r="AT17" s="3120"/>
      <c r="AU17" s="3120"/>
      <c r="AV17" s="3120"/>
      <c r="AW17" s="3120"/>
      <c r="AX17" s="3120"/>
      <c r="AY17" s="3120"/>
      <c r="AZ17" s="3120"/>
      <c r="BA17" s="3120"/>
      <c r="BB17" s="3120"/>
      <c r="BC17" s="3120"/>
      <c r="BD17" s="3120"/>
      <c r="BE17" s="3120"/>
      <c r="BF17" s="3120"/>
      <c r="BG17" s="3120"/>
      <c r="BH17" s="3120"/>
      <c r="BI17" s="3120"/>
      <c r="BJ17" s="3120"/>
      <c r="BK17" s="3120"/>
      <c r="BL17" s="3120"/>
      <c r="BM17" s="3120"/>
      <c r="BN17" s="3120"/>
      <c r="BO17" s="3120"/>
      <c r="BP17" s="3120"/>
      <c r="BQ17" s="3120"/>
      <c r="BR17" s="3120"/>
      <c r="BS17" s="3120"/>
      <c r="BT17" s="3120"/>
      <c r="BU17" s="3120"/>
      <c r="BV17" s="3120"/>
      <c r="BW17" s="3120"/>
      <c r="BX17" s="3120"/>
      <c r="BY17" s="3120"/>
      <c r="BZ17" s="3120"/>
      <c r="CA17" s="3120"/>
      <c r="CB17" s="3120"/>
      <c r="CC17" s="3120"/>
      <c r="CD17" s="3120"/>
      <c r="CE17" s="3120"/>
      <c r="CF17" s="3120"/>
      <c r="CG17" s="3120"/>
      <c r="CH17" s="3120"/>
      <c r="CI17" s="3120"/>
      <c r="CJ17" s="3120"/>
      <c r="CK17" s="3120"/>
      <c r="CL17" s="3120"/>
      <c r="CM17" s="3120"/>
      <c r="CN17" s="3120"/>
      <c r="CO17" s="3120"/>
      <c r="CP17" s="3120"/>
      <c r="CQ17" s="3120"/>
      <c r="CR17" s="3120"/>
      <c r="CS17" s="3120"/>
      <c r="CT17" s="3120"/>
      <c r="CU17" s="3120"/>
      <c r="CV17" s="3120"/>
      <c r="CW17" s="3120"/>
      <c r="CX17" s="3120"/>
      <c r="CY17" s="3120"/>
      <c r="CZ17" s="3120"/>
      <c r="DA17" s="3120"/>
      <c r="DB17" s="3120"/>
      <c r="DC17" s="3120"/>
      <c r="DD17" s="3120"/>
      <c r="DE17" s="3120"/>
      <c r="DF17" s="3120"/>
      <c r="DG17" s="3120"/>
      <c r="DH17" s="3120"/>
      <c r="DI17" s="3120"/>
      <c r="DJ17" s="3120"/>
      <c r="DK17" s="3120"/>
      <c r="DL17" s="3120"/>
      <c r="DM17" s="3120"/>
      <c r="DN17" s="3120"/>
      <c r="DO17" s="3120"/>
      <c r="DP17" s="3120"/>
      <c r="DQ17" s="3120"/>
      <c r="DR17" s="3120"/>
      <c r="DS17" s="3120"/>
      <c r="DT17" s="3120"/>
      <c r="DU17" s="3120"/>
      <c r="DV17" s="3120"/>
      <c r="DW17" s="3120"/>
      <c r="DX17" s="3120"/>
      <c r="DY17" s="3120"/>
      <c r="DZ17" s="3120"/>
      <c r="EA17" s="3120"/>
      <c r="EB17" s="3120"/>
      <c r="EC17" s="3120"/>
      <c r="ED17" s="3120"/>
      <c r="EE17" s="3120"/>
      <c r="EF17" s="3120"/>
      <c r="EG17" s="3120"/>
      <c r="EH17" s="3120"/>
      <c r="EI17" s="3120"/>
      <c r="EJ17" s="3120"/>
      <c r="EK17" s="3120"/>
      <c r="EL17" s="3120"/>
      <c r="EM17" s="3120"/>
      <c r="EN17" s="3120"/>
      <c r="EO17" s="3120"/>
      <c r="EP17" s="3120"/>
      <c r="EQ17" s="3120"/>
      <c r="ER17" s="3120"/>
      <c r="ES17" s="3120"/>
      <c r="ET17" s="3120"/>
      <c r="EU17" s="3120"/>
      <c r="EV17" s="3120"/>
      <c r="EW17" s="3120"/>
      <c r="EX17" s="3120"/>
      <c r="EY17" s="3120"/>
      <c r="EZ17" s="3120"/>
      <c r="FA17" s="3120"/>
      <c r="FB17" s="3120"/>
      <c r="FC17" s="3120"/>
      <c r="FD17" s="3120"/>
      <c r="FE17" s="3120"/>
      <c r="FF17" s="3120"/>
      <c r="FG17" s="3120"/>
      <c r="FH17" s="3120"/>
      <c r="FI17" s="3120"/>
      <c r="FJ17" s="3120"/>
      <c r="FK17" s="3120"/>
      <c r="FL17" s="3120"/>
      <c r="FM17" s="3120"/>
      <c r="FN17" s="3120"/>
      <c r="FO17" s="3120"/>
      <c r="FP17" s="3120"/>
      <c r="FQ17" s="3120"/>
      <c r="FR17" s="3120"/>
      <c r="FS17" s="3120"/>
      <c r="FT17" s="3120"/>
      <c r="FU17" s="3120"/>
      <c r="FV17" s="3120"/>
      <c r="FW17" s="3120"/>
      <c r="FX17" s="3120"/>
      <c r="FY17" s="3120"/>
      <c r="FZ17" s="3120"/>
      <c r="GA17" s="3120"/>
      <c r="GB17" s="3120"/>
      <c r="GC17" s="3120"/>
      <c r="GD17" s="3120"/>
      <c r="GE17" s="3120"/>
      <c r="GF17" s="3120"/>
      <c r="GG17" s="3120"/>
      <c r="GH17" s="3120"/>
      <c r="GI17" s="3120"/>
      <c r="GJ17" s="3120"/>
      <c r="GK17" s="3120"/>
      <c r="GL17" s="3120"/>
      <c r="GM17" s="3120"/>
      <c r="GN17" s="3120"/>
      <c r="GO17" s="3120"/>
      <c r="GP17" s="3120"/>
      <c r="GQ17" s="3120"/>
      <c r="GR17" s="3120"/>
      <c r="GS17" s="3120"/>
      <c r="GT17" s="3120"/>
      <c r="GU17" s="3120"/>
      <c r="GV17" s="3120"/>
      <c r="GW17" s="3120"/>
      <c r="GX17" s="3120"/>
      <c r="GY17" s="3120"/>
      <c r="GZ17" s="3120"/>
      <c r="HA17" s="3120"/>
      <c r="HB17" s="3120"/>
      <c r="HC17" s="3120"/>
      <c r="HD17" s="3120"/>
      <c r="HE17" s="3120"/>
      <c r="HF17" s="3120"/>
      <c r="HG17" s="3120"/>
      <c r="HH17" s="3120"/>
      <c r="HI17" s="3120"/>
      <c r="HJ17" s="3120"/>
      <c r="HK17" s="3120"/>
      <c r="HL17" s="3120"/>
      <c r="HM17" s="3120"/>
      <c r="HN17" s="3120"/>
      <c r="HO17" s="3120"/>
      <c r="HP17" s="3120"/>
      <c r="HQ17" s="3120"/>
      <c r="HR17" s="3120"/>
      <c r="HS17" s="3120"/>
      <c r="HT17" s="3120"/>
      <c r="HU17" s="3120"/>
      <c r="HV17" s="3120"/>
      <c r="HW17" s="3120"/>
      <c r="HX17" s="3120"/>
      <c r="HY17" s="3120"/>
      <c r="HZ17" s="3120"/>
      <c r="IA17" s="3120"/>
      <c r="IB17" s="3120"/>
      <c r="IC17" s="3120"/>
      <c r="ID17" s="3120"/>
      <c r="IE17" s="3120"/>
      <c r="IF17" s="3120"/>
      <c r="IG17" s="3120"/>
      <c r="IH17" s="3120"/>
      <c r="II17" s="3120"/>
      <c r="IJ17" s="3120"/>
      <c r="IK17" s="3120"/>
      <c r="IL17" s="3120"/>
      <c r="IM17" s="3120"/>
      <c r="IN17" s="3120"/>
      <c r="IO17" s="3120"/>
      <c r="IP17" s="3120"/>
      <c r="IQ17" s="3120"/>
      <c r="IR17" s="3120"/>
      <c r="IS17" s="3120"/>
      <c r="IT17" s="3120"/>
      <c r="IU17" s="3120"/>
      <c r="IV17" s="3120"/>
    </row>
    <row r="18" spans="1:256">
      <c r="B18" s="1256"/>
      <c r="C18" s="1257">
        <v>42301</v>
      </c>
      <c r="D18" s="1256">
        <v>4.3499999999999996</v>
      </c>
      <c r="E18" s="1256">
        <v>4.3499999999999996</v>
      </c>
      <c r="F18" s="1256">
        <v>4.75</v>
      </c>
      <c r="G18" s="1256">
        <v>4.75</v>
      </c>
      <c r="H18" s="1256">
        <v>4.9000000000000004</v>
      </c>
      <c r="I18" s="1256">
        <v>2.75</v>
      </c>
      <c r="J18" s="1256">
        <v>3.25</v>
      </c>
      <c r="L18" s="1256"/>
      <c r="M18" s="1257">
        <v>42064</v>
      </c>
      <c r="N18" s="1256">
        <v>0.35</v>
      </c>
      <c r="O18" s="1256">
        <v>2.1</v>
      </c>
      <c r="P18" s="1256">
        <v>2.2999999999999998</v>
      </c>
      <c r="Q18" s="1256">
        <v>2.5</v>
      </c>
      <c r="R18" s="1256">
        <v>3.1</v>
      </c>
      <c r="S18" s="1256">
        <v>3.75</v>
      </c>
      <c r="T18" s="1256">
        <v>4.5</v>
      </c>
      <c r="U18" s="1256">
        <v>2.35</v>
      </c>
      <c r="V18" s="1256">
        <v>2.5499999999999998</v>
      </c>
      <c r="W18" s="1256">
        <v>2.75</v>
      </c>
      <c r="X18" s="1256"/>
      <c r="Y18" s="1256">
        <v>0.8</v>
      </c>
      <c r="Z18" s="1256">
        <v>1.35</v>
      </c>
    </row>
    <row r="19" spans="1:256" ht="15">
      <c r="B19" s="1256"/>
      <c r="C19" s="1257">
        <v>42242</v>
      </c>
      <c r="D19" s="1256">
        <v>4.5999999999999996</v>
      </c>
      <c r="E19" s="1256">
        <v>4.5999999999999996</v>
      </c>
      <c r="F19" s="1256">
        <v>5</v>
      </c>
      <c r="G19" s="1256">
        <v>5</v>
      </c>
      <c r="H19" s="1256">
        <v>5.15</v>
      </c>
      <c r="I19" s="1256">
        <v>2.75</v>
      </c>
      <c r="J19" s="1256">
        <v>3.25</v>
      </c>
      <c r="L19" s="1256"/>
      <c r="M19" s="1257">
        <v>41965</v>
      </c>
      <c r="N19" s="1256">
        <v>0.35</v>
      </c>
      <c r="O19" s="1256">
        <v>2.35</v>
      </c>
      <c r="P19" s="1256">
        <v>2.5499999999999998</v>
      </c>
      <c r="Q19" s="1256">
        <v>2.75</v>
      </c>
      <c r="R19" s="1256">
        <v>3.35</v>
      </c>
      <c r="S19" s="1256">
        <v>4</v>
      </c>
      <c r="T19" s="1256">
        <v>4.75</v>
      </c>
      <c r="U19" s="1258">
        <v>2.35</v>
      </c>
      <c r="V19" s="1258">
        <v>2.5499999999999998</v>
      </c>
      <c r="W19" s="1258">
        <v>2.75</v>
      </c>
      <c r="X19" s="1256"/>
      <c r="Y19" s="1258">
        <v>0.8</v>
      </c>
      <c r="Z19" s="1258">
        <v>1.35</v>
      </c>
    </row>
    <row r="20" spans="1:256">
      <c r="B20" s="1256"/>
      <c r="C20" s="1257">
        <v>42183</v>
      </c>
      <c r="D20" s="1256">
        <v>4.8499999999999996</v>
      </c>
      <c r="E20" s="1256">
        <v>4.8499999999999996</v>
      </c>
      <c r="F20" s="1256">
        <v>5.25</v>
      </c>
      <c r="G20" s="1256">
        <v>5.25</v>
      </c>
      <c r="H20" s="1256">
        <v>5.4</v>
      </c>
      <c r="I20" s="1256">
        <v>3</v>
      </c>
      <c r="J20" s="1256">
        <v>3.5</v>
      </c>
      <c r="L20" s="1256"/>
      <c r="M20" s="1257">
        <v>41096</v>
      </c>
      <c r="N20" s="1256">
        <v>0.35</v>
      </c>
      <c r="O20" s="1256">
        <v>2.6</v>
      </c>
      <c r="P20" s="1256">
        <v>2.8</v>
      </c>
      <c r="Q20" s="1256">
        <v>3</v>
      </c>
      <c r="R20" s="1256">
        <v>3.75</v>
      </c>
      <c r="S20" s="1256">
        <v>4.25</v>
      </c>
      <c r="T20" s="1256">
        <v>4.75</v>
      </c>
      <c r="U20" s="1256">
        <v>2.85</v>
      </c>
      <c r="V20" s="1256">
        <v>2.9</v>
      </c>
      <c r="W20" s="1256">
        <v>3</v>
      </c>
      <c r="X20" s="1256">
        <v>1.1499999999999999</v>
      </c>
      <c r="Y20" s="1256">
        <v>0.8</v>
      </c>
      <c r="Z20" s="1256">
        <v>1.35</v>
      </c>
    </row>
    <row r="21" spans="1:256">
      <c r="B21" s="1256"/>
      <c r="C21" s="1257">
        <v>42135</v>
      </c>
      <c r="D21" s="1256">
        <v>5.0999999999999996</v>
      </c>
      <c r="E21" s="1256">
        <v>5.0999999999999996</v>
      </c>
      <c r="F21" s="1256">
        <v>5.5</v>
      </c>
      <c r="G21" s="1256">
        <v>5.5</v>
      </c>
      <c r="H21" s="1256">
        <v>5.65</v>
      </c>
      <c r="I21" s="1256">
        <v>3.25</v>
      </c>
      <c r="J21" s="1256">
        <v>3.75</v>
      </c>
      <c r="L21" s="1256"/>
      <c r="M21" s="1257">
        <v>41068</v>
      </c>
      <c r="N21" s="1256">
        <v>0.4</v>
      </c>
      <c r="O21" s="1256">
        <v>2.85</v>
      </c>
      <c r="P21" s="1256">
        <v>3.05</v>
      </c>
      <c r="Q21" s="1256">
        <v>3.25</v>
      </c>
      <c r="R21" s="1256">
        <v>4.0999999999999996</v>
      </c>
      <c r="S21" s="1256">
        <v>4.6500000000000004</v>
      </c>
      <c r="T21" s="1256">
        <v>5.0999999999999996</v>
      </c>
      <c r="U21" s="1256">
        <v>3.1</v>
      </c>
      <c r="V21" s="1256">
        <v>3.15</v>
      </c>
      <c r="W21" s="1256">
        <v>3.25</v>
      </c>
      <c r="X21" s="1256">
        <v>1.31</v>
      </c>
      <c r="Y21" s="1256">
        <v>0.94</v>
      </c>
      <c r="Z21" s="1256">
        <v>1.49</v>
      </c>
    </row>
    <row r="22" spans="1:256">
      <c r="B22" s="1256"/>
      <c r="C22" s="1257">
        <v>42064</v>
      </c>
      <c r="D22" s="1256">
        <v>5.35</v>
      </c>
      <c r="E22" s="1256">
        <v>5.35</v>
      </c>
      <c r="F22" s="1256">
        <v>5.75</v>
      </c>
      <c r="G22" s="1256">
        <v>5.75</v>
      </c>
      <c r="H22" s="1256">
        <v>5.9</v>
      </c>
      <c r="I22" s="1256"/>
      <c r="J22" s="1256"/>
      <c r="L22" s="1256"/>
      <c r="M22" s="1257">
        <v>40731</v>
      </c>
      <c r="N22" s="1256">
        <v>0.5</v>
      </c>
      <c r="O22" s="1256">
        <v>3.1</v>
      </c>
      <c r="P22" s="1256">
        <v>3.3</v>
      </c>
      <c r="Q22" s="1256">
        <v>3.5</v>
      </c>
      <c r="R22" s="1256">
        <v>4.4000000000000004</v>
      </c>
      <c r="S22" s="1256">
        <v>5</v>
      </c>
      <c r="T22" s="1256">
        <v>5.5</v>
      </c>
      <c r="U22" s="1256">
        <v>3.1</v>
      </c>
      <c r="V22" s="1256">
        <v>3.3</v>
      </c>
      <c r="W22" s="1256">
        <v>3.5</v>
      </c>
      <c r="X22" s="1256">
        <v>1.31</v>
      </c>
      <c r="Y22" s="1256">
        <v>0.95</v>
      </c>
      <c r="Z22" s="1256">
        <v>1.49</v>
      </c>
    </row>
    <row r="23" spans="1:256">
      <c r="B23" s="1256"/>
      <c r="C23" s="1257">
        <v>41965</v>
      </c>
      <c r="D23" s="1256">
        <v>5.6</v>
      </c>
      <c r="E23" s="1256">
        <v>5.6</v>
      </c>
      <c r="F23" s="1256">
        <v>6</v>
      </c>
      <c r="G23" s="1256">
        <v>6</v>
      </c>
      <c r="H23" s="1256">
        <v>6.15</v>
      </c>
      <c r="I23" s="1256"/>
      <c r="J23" s="1256"/>
      <c r="L23" s="1256"/>
      <c r="M23" s="1257">
        <v>40639</v>
      </c>
      <c r="N23" s="1256">
        <v>0.5</v>
      </c>
      <c r="O23" s="1256">
        <v>2.85</v>
      </c>
      <c r="P23" s="1256">
        <v>3.05</v>
      </c>
      <c r="Q23" s="1256">
        <v>3.25</v>
      </c>
      <c r="R23" s="1256">
        <v>4.1500000000000004</v>
      </c>
      <c r="S23" s="1256">
        <v>4.75</v>
      </c>
      <c r="T23" s="1256">
        <v>5.25</v>
      </c>
      <c r="U23" s="1256">
        <v>2.85</v>
      </c>
      <c r="V23" s="1256">
        <v>3.05</v>
      </c>
      <c r="W23" s="1256">
        <v>3.25</v>
      </c>
      <c r="X23" s="1256">
        <v>1.31</v>
      </c>
      <c r="Y23" s="1256">
        <v>0.95</v>
      </c>
      <c r="Z23" s="1256">
        <v>1.49</v>
      </c>
    </row>
    <row r="24" spans="1:256">
      <c r="B24" s="1256"/>
      <c r="C24" s="1257">
        <v>41096</v>
      </c>
      <c r="D24" s="1256">
        <v>5.6</v>
      </c>
      <c r="E24" s="1256">
        <v>6</v>
      </c>
      <c r="F24" s="1256">
        <v>6.15</v>
      </c>
      <c r="G24" s="1256">
        <v>6.4</v>
      </c>
      <c r="H24" s="1256">
        <v>6.55</v>
      </c>
      <c r="I24" s="1256">
        <v>4</v>
      </c>
      <c r="J24" s="1256">
        <v>4.5</v>
      </c>
      <c r="L24" s="1256"/>
      <c r="M24" s="1257">
        <v>40583</v>
      </c>
      <c r="N24" s="1256">
        <v>0.4</v>
      </c>
      <c r="O24" s="1256">
        <v>2.6</v>
      </c>
      <c r="P24" s="1256">
        <v>2.8</v>
      </c>
      <c r="Q24" s="1256">
        <v>3</v>
      </c>
      <c r="R24" s="1256">
        <v>3.9</v>
      </c>
      <c r="S24" s="1256">
        <v>4.5</v>
      </c>
      <c r="T24" s="1256">
        <v>5</v>
      </c>
      <c r="U24" s="1256">
        <v>2.6</v>
      </c>
      <c r="V24" s="1256">
        <v>2.8</v>
      </c>
      <c r="W24" s="1256">
        <v>3</v>
      </c>
      <c r="X24" s="1256">
        <v>1.21</v>
      </c>
      <c r="Y24" s="1256">
        <v>0.85</v>
      </c>
      <c r="Z24" s="1256">
        <v>1.39</v>
      </c>
    </row>
    <row r="25" spans="1:256">
      <c r="B25" s="1256"/>
      <c r="C25" s="1257">
        <v>41068</v>
      </c>
      <c r="D25" s="1256">
        <v>5.85</v>
      </c>
      <c r="E25" s="1256">
        <v>6.31</v>
      </c>
      <c r="F25" s="1256">
        <v>6.4</v>
      </c>
      <c r="G25" s="1256">
        <v>6.65</v>
      </c>
      <c r="H25" s="1256">
        <v>6.8</v>
      </c>
      <c r="I25" s="1256">
        <v>4.2</v>
      </c>
      <c r="J25" s="1256">
        <v>4.7</v>
      </c>
      <c r="L25" s="1256"/>
      <c r="M25" s="1257">
        <v>40538</v>
      </c>
      <c r="N25" s="1256">
        <v>0.36</v>
      </c>
      <c r="O25" s="1256">
        <v>2.25</v>
      </c>
      <c r="P25" s="1256">
        <v>2.5</v>
      </c>
      <c r="Q25" s="1256">
        <v>2.75</v>
      </c>
      <c r="R25" s="1256">
        <v>3.55</v>
      </c>
      <c r="S25" s="1256">
        <v>4.1500000000000004</v>
      </c>
      <c r="T25" s="1256">
        <v>4.55</v>
      </c>
      <c r="U25" s="1256">
        <v>2.16</v>
      </c>
      <c r="V25" s="1256">
        <v>2.5</v>
      </c>
      <c r="W25" s="1256">
        <v>2.85</v>
      </c>
      <c r="X25" s="1256">
        <v>1.17</v>
      </c>
      <c r="Y25" s="1256">
        <v>0.81</v>
      </c>
      <c r="Z25" s="1256">
        <v>1.35</v>
      </c>
    </row>
    <row r="26" spans="1:256">
      <c r="B26" s="1256"/>
      <c r="C26" s="1257">
        <v>40731</v>
      </c>
      <c r="D26" s="1256">
        <v>6.1</v>
      </c>
      <c r="E26" s="1256">
        <v>6.56</v>
      </c>
      <c r="F26" s="1256">
        <v>6.65</v>
      </c>
      <c r="G26" s="1256">
        <v>6.9</v>
      </c>
      <c r="H26" s="1256">
        <v>7.05</v>
      </c>
      <c r="I26" s="1256">
        <v>4.45</v>
      </c>
      <c r="J26" s="1256">
        <v>4.9000000000000004</v>
      </c>
      <c r="L26" s="1256"/>
      <c r="M26" s="1257">
        <v>40471</v>
      </c>
      <c r="N26" s="1256">
        <v>0.36</v>
      </c>
      <c r="O26" s="1256">
        <v>1.91</v>
      </c>
      <c r="P26" s="1256">
        <v>2.2000000000000002</v>
      </c>
      <c r="Q26" s="1256">
        <v>2.5</v>
      </c>
      <c r="R26" s="1256">
        <v>3.25</v>
      </c>
      <c r="S26" s="1256">
        <v>3.85</v>
      </c>
      <c r="T26" s="1256">
        <v>4.2</v>
      </c>
      <c r="U26" s="1256">
        <v>1.91</v>
      </c>
      <c r="V26" s="1256">
        <v>2.2000000000000002</v>
      </c>
      <c r="W26" s="1256">
        <v>2.5</v>
      </c>
      <c r="X26" s="1256">
        <v>1.17</v>
      </c>
      <c r="Y26" s="1256">
        <v>0.81</v>
      </c>
      <c r="Z26" s="1256">
        <v>1.35</v>
      </c>
    </row>
    <row r="27" spans="1:256">
      <c r="B27" s="1256"/>
      <c r="C27" s="1257">
        <v>40639</v>
      </c>
      <c r="D27" s="1256">
        <v>5.85</v>
      </c>
      <c r="E27" s="1256">
        <v>6.31</v>
      </c>
      <c r="F27" s="1256">
        <v>6.4</v>
      </c>
      <c r="G27" s="1256">
        <v>6.65</v>
      </c>
      <c r="H27" s="1256">
        <v>6.8</v>
      </c>
      <c r="I27" s="1256">
        <v>4.2</v>
      </c>
      <c r="J27" s="1256">
        <v>4.7</v>
      </c>
      <c r="L27" s="1256"/>
      <c r="M27" s="1257">
        <v>39805</v>
      </c>
      <c r="N27" s="1256">
        <v>0.36</v>
      </c>
      <c r="O27" s="1256">
        <v>1.71</v>
      </c>
      <c r="P27" s="1256">
        <v>1.98</v>
      </c>
      <c r="Q27" s="1256">
        <v>2.25</v>
      </c>
      <c r="R27" s="1256">
        <v>2.79</v>
      </c>
      <c r="S27" s="1256">
        <v>3.33</v>
      </c>
      <c r="T27" s="1256">
        <v>3.6</v>
      </c>
      <c r="U27" s="1256">
        <v>1.71</v>
      </c>
      <c r="V27" s="1256">
        <v>1.98</v>
      </c>
      <c r="W27" s="1256">
        <v>2.25</v>
      </c>
      <c r="X27" s="1256">
        <v>1.17</v>
      </c>
      <c r="Y27" s="1256">
        <v>0.81</v>
      </c>
      <c r="Z27" s="1256">
        <v>1.35</v>
      </c>
    </row>
    <row r="28" spans="1:256">
      <c r="B28" s="1256"/>
      <c r="C28" s="1257">
        <v>40583</v>
      </c>
      <c r="D28" s="1256">
        <v>5.6</v>
      </c>
      <c r="E28" s="1256">
        <v>6.06</v>
      </c>
      <c r="F28" s="1256">
        <v>6.1</v>
      </c>
      <c r="G28" s="1256">
        <v>6.45</v>
      </c>
      <c r="H28" s="1256">
        <v>6.6</v>
      </c>
      <c r="I28" s="1256">
        <v>4</v>
      </c>
      <c r="J28" s="1256">
        <v>4.5</v>
      </c>
      <c r="L28" s="1256"/>
      <c r="M28" s="1257">
        <v>39779</v>
      </c>
      <c r="N28" s="1256">
        <v>0.36</v>
      </c>
      <c r="O28" s="1256">
        <v>1.98</v>
      </c>
      <c r="P28" s="1256">
        <v>2.25</v>
      </c>
      <c r="Q28" s="1256">
        <v>2.52</v>
      </c>
      <c r="R28" s="1256">
        <v>3.06</v>
      </c>
      <c r="S28" s="1256">
        <v>3.6</v>
      </c>
      <c r="T28" s="1256">
        <v>3.87</v>
      </c>
      <c r="U28" s="1256">
        <v>1.98</v>
      </c>
      <c r="V28" s="1256">
        <v>2.25</v>
      </c>
      <c r="W28" s="1256">
        <v>2.52</v>
      </c>
      <c r="X28" s="1256">
        <v>1.17</v>
      </c>
      <c r="Y28" s="1256">
        <v>0.81</v>
      </c>
      <c r="Z28" s="1256">
        <v>1.35</v>
      </c>
    </row>
    <row r="29" spans="1:256">
      <c r="B29" s="1256"/>
      <c r="C29" s="1257">
        <v>40538</v>
      </c>
      <c r="D29" s="1256">
        <v>5.35</v>
      </c>
      <c r="E29" s="1256">
        <v>5.81</v>
      </c>
      <c r="F29" s="1256">
        <v>5.85</v>
      </c>
      <c r="G29" s="1256">
        <v>6.22</v>
      </c>
      <c r="H29" s="1256">
        <v>6.4</v>
      </c>
      <c r="I29" s="1256">
        <v>3.75</v>
      </c>
      <c r="J29" s="1256">
        <v>4.3</v>
      </c>
      <c r="L29" s="1256"/>
      <c r="M29" s="1257">
        <v>39751</v>
      </c>
      <c r="N29" s="1256">
        <v>0.72</v>
      </c>
      <c r="O29" s="1256">
        <v>2.88</v>
      </c>
      <c r="P29" s="1256">
        <v>3.24</v>
      </c>
      <c r="Q29" s="1256">
        <v>3.6</v>
      </c>
      <c r="R29" s="1256">
        <v>4.1399999999999997</v>
      </c>
      <c r="S29" s="1256">
        <v>4.7699999999999996</v>
      </c>
      <c r="T29" s="1256">
        <v>5.13</v>
      </c>
      <c r="U29" s="1256">
        <v>2.88</v>
      </c>
      <c r="V29" s="1256">
        <v>3.24</v>
      </c>
      <c r="W29" s="1256">
        <v>3.6</v>
      </c>
      <c r="X29" s="1256">
        <v>1.53</v>
      </c>
      <c r="Y29" s="1256">
        <v>1.17</v>
      </c>
      <c r="Z29" s="1256">
        <v>1.71</v>
      </c>
    </row>
    <row r="30" spans="1:256">
      <c r="B30" s="1256"/>
      <c r="C30" s="1257">
        <v>40471</v>
      </c>
      <c r="D30" s="1256">
        <v>5.0999999999999996</v>
      </c>
      <c r="E30" s="1256">
        <v>5.56</v>
      </c>
      <c r="F30" s="1256">
        <v>5.6</v>
      </c>
      <c r="G30" s="1256">
        <v>5.96</v>
      </c>
      <c r="H30" s="1256">
        <v>6.14</v>
      </c>
      <c r="I30" s="1256">
        <v>3.5</v>
      </c>
      <c r="J30" s="1256">
        <v>4.05</v>
      </c>
      <c r="L30" s="1256"/>
      <c r="M30" s="1259">
        <v>39736</v>
      </c>
      <c r="N30" s="1256">
        <v>0.72</v>
      </c>
      <c r="O30" s="1256">
        <v>3.15</v>
      </c>
      <c r="P30" s="1256">
        <v>3.51</v>
      </c>
      <c r="Q30" s="1256">
        <v>3.87</v>
      </c>
      <c r="R30" s="1256">
        <v>4.41</v>
      </c>
      <c r="S30" s="1256">
        <v>5.13</v>
      </c>
      <c r="T30" s="1256">
        <v>5.58</v>
      </c>
      <c r="U30" s="1256">
        <v>3.15</v>
      </c>
      <c r="V30" s="1256">
        <v>3.51</v>
      </c>
      <c r="W30" s="1256">
        <v>3.87</v>
      </c>
      <c r="X30" s="1256">
        <v>1.53</v>
      </c>
      <c r="Y30" s="1256">
        <v>1.17</v>
      </c>
      <c r="Z30" s="1256">
        <v>1.71</v>
      </c>
    </row>
    <row r="31" spans="1:256">
      <c r="B31" s="1256"/>
      <c r="C31" s="1257">
        <v>39805</v>
      </c>
      <c r="D31" s="1256">
        <v>4.8600000000000003</v>
      </c>
      <c r="E31" s="1256">
        <v>5.31</v>
      </c>
      <c r="F31" s="1256">
        <v>5.4</v>
      </c>
      <c r="G31" s="1256">
        <v>5.76</v>
      </c>
      <c r="H31" s="1256">
        <v>5.94</v>
      </c>
      <c r="I31" s="1256">
        <v>3.33</v>
      </c>
      <c r="J31" s="1256">
        <v>3.87</v>
      </c>
      <c r="L31" s="1256"/>
      <c r="M31" s="1257">
        <v>39730</v>
      </c>
      <c r="N31" s="1256">
        <v>0.72</v>
      </c>
      <c r="O31" s="1256">
        <v>3.15</v>
      </c>
      <c r="P31" s="1256">
        <v>3.51</v>
      </c>
      <c r="Q31" s="1256">
        <v>3.87</v>
      </c>
      <c r="R31" s="1256">
        <v>4.41</v>
      </c>
      <c r="S31" s="1256">
        <v>5.13</v>
      </c>
      <c r="T31" s="1256">
        <v>5.58</v>
      </c>
      <c r="U31" s="1256">
        <v>3.15</v>
      </c>
      <c r="V31" s="1256">
        <v>3.51</v>
      </c>
      <c r="W31" s="1256">
        <v>3.87</v>
      </c>
      <c r="X31" s="1256">
        <v>1.53</v>
      </c>
      <c r="Y31" s="1256">
        <v>1.17</v>
      </c>
      <c r="Z31" s="1256">
        <v>1.71</v>
      </c>
    </row>
    <row r="32" spans="1:256">
      <c r="B32" s="1256"/>
      <c r="C32" s="1257">
        <v>39779</v>
      </c>
      <c r="D32" s="1256">
        <v>5.04</v>
      </c>
      <c r="E32" s="1256">
        <v>5.58</v>
      </c>
      <c r="F32" s="1256">
        <v>5.67</v>
      </c>
      <c r="G32" s="1256">
        <v>5.94</v>
      </c>
      <c r="H32" s="1256">
        <v>6.12</v>
      </c>
      <c r="I32" s="1256">
        <v>3.51</v>
      </c>
      <c r="J32" s="1256">
        <v>4.05</v>
      </c>
      <c r="L32" s="1256"/>
      <c r="M32" s="1257">
        <v>39437</v>
      </c>
      <c r="N32" s="1256">
        <v>0.72</v>
      </c>
      <c r="O32" s="1256">
        <v>3.33</v>
      </c>
      <c r="P32" s="1256">
        <v>3.78</v>
      </c>
      <c r="Q32" s="1256">
        <v>4.1399999999999997</v>
      </c>
      <c r="R32" s="1256">
        <v>4.68</v>
      </c>
      <c r="S32" s="1256">
        <v>5.4</v>
      </c>
      <c r="T32" s="1256">
        <v>5.85</v>
      </c>
      <c r="U32" s="1256">
        <v>3.33</v>
      </c>
      <c r="V32" s="1256">
        <v>3.78</v>
      </c>
      <c r="W32" s="1256">
        <v>4.1399999999999997</v>
      </c>
      <c r="X32" s="1256">
        <v>1.53</v>
      </c>
      <c r="Y32" s="1256">
        <v>1.17</v>
      </c>
      <c r="Z32" s="1256">
        <v>1.71</v>
      </c>
    </row>
    <row r="33" spans="2:26">
      <c r="B33" s="1256"/>
      <c r="C33" s="1257">
        <v>39751</v>
      </c>
      <c r="D33" s="1256">
        <v>6.03</v>
      </c>
      <c r="E33" s="1256">
        <v>6.66</v>
      </c>
      <c r="F33" s="1256">
        <v>6.75</v>
      </c>
      <c r="G33" s="1256">
        <v>7.02</v>
      </c>
      <c r="H33" s="1256">
        <v>7.2</v>
      </c>
      <c r="I33" s="1256">
        <v>4.05</v>
      </c>
      <c r="J33" s="1256">
        <v>4.59</v>
      </c>
      <c r="L33" s="1256"/>
      <c r="M33" s="1257">
        <v>39340</v>
      </c>
      <c r="N33" s="1256">
        <v>0.81</v>
      </c>
      <c r="O33" s="1256">
        <v>2.88</v>
      </c>
      <c r="P33" s="1256">
        <v>3.42</v>
      </c>
      <c r="Q33" s="1256">
        <v>3.87</v>
      </c>
      <c r="R33" s="1256">
        <v>4.5</v>
      </c>
      <c r="S33" s="1256">
        <v>5.22</v>
      </c>
      <c r="T33" s="1256">
        <v>5.76</v>
      </c>
      <c r="U33" s="1256">
        <v>2.88</v>
      </c>
      <c r="V33" s="1256">
        <v>3.42</v>
      </c>
      <c r="W33" s="1256">
        <v>3.87</v>
      </c>
      <c r="X33" s="1256">
        <v>1.53</v>
      </c>
      <c r="Y33" s="1256">
        <v>1.17</v>
      </c>
      <c r="Z33" s="1256">
        <v>1.71</v>
      </c>
    </row>
    <row r="34" spans="2:26">
      <c r="B34" s="1256"/>
      <c r="C34" s="1259">
        <v>39748</v>
      </c>
      <c r="D34" s="1256">
        <v>6.12</v>
      </c>
      <c r="E34" s="1256">
        <v>6.93</v>
      </c>
      <c r="F34" s="1256">
        <v>7.02</v>
      </c>
      <c r="G34" s="1256">
        <v>7.29</v>
      </c>
      <c r="H34" s="1256">
        <v>7.47</v>
      </c>
      <c r="I34" s="1256">
        <v>4.05</v>
      </c>
      <c r="J34" s="1256">
        <v>4.59</v>
      </c>
      <c r="L34" s="1256"/>
      <c r="M34" s="1257">
        <v>39316</v>
      </c>
      <c r="N34" s="1256">
        <v>0.81</v>
      </c>
      <c r="O34" s="1256">
        <v>2.61</v>
      </c>
      <c r="P34" s="1256">
        <v>3.15</v>
      </c>
      <c r="Q34" s="1256">
        <v>3.6</v>
      </c>
      <c r="R34" s="1256">
        <v>4.2300000000000004</v>
      </c>
      <c r="S34" s="1256">
        <v>4.95</v>
      </c>
      <c r="T34" s="1256">
        <v>5.49</v>
      </c>
      <c r="U34" s="1256">
        <v>2.61</v>
      </c>
      <c r="V34" s="1256">
        <v>3.15</v>
      </c>
      <c r="W34" s="1256">
        <v>3.6</v>
      </c>
      <c r="X34" s="1256">
        <v>1.53</v>
      </c>
      <c r="Y34" s="1256">
        <v>1.17</v>
      </c>
      <c r="Z34" s="1256">
        <v>1.71</v>
      </c>
    </row>
    <row r="35" spans="2:26">
      <c r="B35" s="1256"/>
      <c r="C35" s="1257">
        <v>39730</v>
      </c>
      <c r="D35" s="1256">
        <v>6.12</v>
      </c>
      <c r="E35" s="1256">
        <v>6.93</v>
      </c>
      <c r="F35" s="1256">
        <v>7.02</v>
      </c>
      <c r="G35" s="1256">
        <v>7.29</v>
      </c>
      <c r="H35" s="1256">
        <v>7.47</v>
      </c>
      <c r="I35" s="1256">
        <v>4.32</v>
      </c>
      <c r="J35" s="1256">
        <v>4.8600000000000003</v>
      </c>
      <c r="L35" s="1256"/>
      <c r="M35" s="1257">
        <v>39284</v>
      </c>
      <c r="N35" s="1256">
        <v>0.81</v>
      </c>
      <c r="O35" s="1256">
        <v>2.34</v>
      </c>
      <c r="P35" s="1256">
        <v>2.88</v>
      </c>
      <c r="Q35" s="1256">
        <v>3.33</v>
      </c>
      <c r="R35" s="1256">
        <v>3.96</v>
      </c>
      <c r="S35" s="1256">
        <v>4.68</v>
      </c>
      <c r="T35" s="1256">
        <v>5.22</v>
      </c>
      <c r="U35" s="1256">
        <v>2.34</v>
      </c>
      <c r="V35" s="1256">
        <v>2.88</v>
      </c>
      <c r="W35" s="1256">
        <v>3.33</v>
      </c>
      <c r="X35" s="1256">
        <v>1.53</v>
      </c>
      <c r="Y35" s="1256">
        <v>1.17</v>
      </c>
      <c r="Z35" s="1256">
        <v>1.71</v>
      </c>
    </row>
    <row r="36" spans="2:26">
      <c r="B36" s="1256"/>
      <c r="C36" s="1257">
        <v>39707</v>
      </c>
      <c r="D36" s="1256">
        <v>6.21</v>
      </c>
      <c r="E36" s="1256">
        <v>7.2</v>
      </c>
      <c r="F36" s="1256">
        <v>7.29</v>
      </c>
      <c r="G36" s="1256">
        <v>7.56</v>
      </c>
      <c r="H36" s="1256">
        <v>7.74</v>
      </c>
      <c r="I36" s="1256">
        <v>4.59</v>
      </c>
      <c r="J36" s="1256">
        <v>5.13</v>
      </c>
      <c r="L36" s="1256"/>
      <c r="M36" s="1257">
        <v>39221</v>
      </c>
      <c r="N36" s="1256">
        <v>0.72</v>
      </c>
      <c r="O36" s="1256">
        <v>2.0699999999999998</v>
      </c>
      <c r="P36" s="1256">
        <v>2.61</v>
      </c>
      <c r="Q36" s="1256">
        <v>3.06</v>
      </c>
      <c r="R36" s="1256">
        <v>3.69</v>
      </c>
      <c r="S36" s="1256">
        <v>4.41</v>
      </c>
      <c r="T36" s="1256">
        <v>4.95</v>
      </c>
      <c r="U36" s="1256">
        <v>2.0699999999999998</v>
      </c>
      <c r="V36" s="1256">
        <v>2.61</v>
      </c>
      <c r="W36" s="1256">
        <v>3.06</v>
      </c>
      <c r="X36" s="1256">
        <v>1.44</v>
      </c>
      <c r="Y36" s="1256">
        <v>1.08</v>
      </c>
      <c r="Z36" s="1256">
        <v>1.62</v>
      </c>
    </row>
    <row r="37" spans="2:26">
      <c r="B37" s="1256"/>
      <c r="C37" s="1257">
        <v>39437</v>
      </c>
      <c r="D37" s="1256">
        <v>6.57</v>
      </c>
      <c r="E37" s="1256">
        <v>7.47</v>
      </c>
      <c r="F37" s="1256">
        <v>7.56</v>
      </c>
      <c r="G37" s="1256">
        <v>7.74</v>
      </c>
      <c r="H37" s="1256">
        <v>7.83</v>
      </c>
      <c r="I37" s="1256">
        <v>4.7699999999999996</v>
      </c>
      <c r="J37" s="1256">
        <v>5.22</v>
      </c>
      <c r="L37" s="1256"/>
      <c r="M37" s="1257">
        <v>39159</v>
      </c>
      <c r="N37" s="1256">
        <v>0.72</v>
      </c>
      <c r="O37" s="1256">
        <v>1.98</v>
      </c>
      <c r="P37" s="1256">
        <v>2.4300000000000002</v>
      </c>
      <c r="Q37" s="1256">
        <v>2.79</v>
      </c>
      <c r="R37" s="1256">
        <v>3.33</v>
      </c>
      <c r="S37" s="1256">
        <v>3.96</v>
      </c>
      <c r="T37" s="1256">
        <v>4.41</v>
      </c>
      <c r="U37" s="1256">
        <v>1.98</v>
      </c>
      <c r="V37" s="1256">
        <v>2.4300000000000002</v>
      </c>
      <c r="W37" s="1256">
        <v>2.79</v>
      </c>
      <c r="X37" s="1256">
        <v>1.44</v>
      </c>
      <c r="Y37" s="1256">
        <v>1.08</v>
      </c>
      <c r="Z37" s="1256">
        <v>1.62</v>
      </c>
    </row>
    <row r="38" spans="2:26">
      <c r="B38" s="1256"/>
      <c r="C38" s="1257">
        <v>39340</v>
      </c>
      <c r="D38" s="1256">
        <v>6.48</v>
      </c>
      <c r="E38" s="1256">
        <v>7.29</v>
      </c>
      <c r="F38" s="1256">
        <v>7.47</v>
      </c>
      <c r="G38" s="1256">
        <v>7.65</v>
      </c>
      <c r="H38" s="1256">
        <v>7.83</v>
      </c>
      <c r="I38" s="1256">
        <v>4.7699999999999996</v>
      </c>
      <c r="J38" s="1256">
        <v>5.22</v>
      </c>
      <c r="L38" s="1256"/>
      <c r="M38" s="1257">
        <v>38948</v>
      </c>
      <c r="N38" s="1256">
        <v>0.72</v>
      </c>
      <c r="O38" s="1256">
        <v>1.8</v>
      </c>
      <c r="P38" s="1256">
        <v>2.25</v>
      </c>
      <c r="Q38" s="1256">
        <v>2.52</v>
      </c>
      <c r="R38" s="1256">
        <v>3.06</v>
      </c>
      <c r="S38" s="1256">
        <v>3.69</v>
      </c>
      <c r="T38" s="1256">
        <v>4.1399999999999997</v>
      </c>
      <c r="U38" s="1256">
        <v>1.8</v>
      </c>
      <c r="V38" s="1256">
        <v>2.25</v>
      </c>
      <c r="W38" s="1256">
        <v>2.52</v>
      </c>
      <c r="X38" s="1256">
        <v>1.44</v>
      </c>
      <c r="Y38" s="1256">
        <v>1.08</v>
      </c>
      <c r="Z38" s="1256">
        <v>1.62</v>
      </c>
    </row>
    <row r="39" spans="2:26">
      <c r="B39" s="1256"/>
      <c r="C39" s="1257">
        <v>39316</v>
      </c>
      <c r="D39" s="1256">
        <v>6.21</v>
      </c>
      <c r="E39" s="1256">
        <v>7.02</v>
      </c>
      <c r="F39" s="1256">
        <v>7.2</v>
      </c>
      <c r="G39" s="1256">
        <v>7.38</v>
      </c>
      <c r="H39" s="1256">
        <v>7.56</v>
      </c>
      <c r="I39" s="1256">
        <v>4.59</v>
      </c>
      <c r="J39" s="1256">
        <v>5.04</v>
      </c>
      <c r="L39" s="1256"/>
      <c r="M39" s="1257">
        <v>38289</v>
      </c>
      <c r="N39" s="1256">
        <v>0.72</v>
      </c>
      <c r="O39" s="1256">
        <v>1.71</v>
      </c>
      <c r="P39" s="1256">
        <v>2.0699999999999998</v>
      </c>
      <c r="Q39" s="1256">
        <v>2.25</v>
      </c>
      <c r="R39" s="1256">
        <v>2.7</v>
      </c>
      <c r="S39" s="1256">
        <v>3.24</v>
      </c>
      <c r="T39" s="1256">
        <v>3.6</v>
      </c>
      <c r="U39" s="1256">
        <v>1.71</v>
      </c>
      <c r="V39" s="1256">
        <v>2.0699999999999998</v>
      </c>
      <c r="W39" s="1256">
        <v>2.25</v>
      </c>
      <c r="X39" s="1256">
        <v>1.44</v>
      </c>
      <c r="Y39" s="1256">
        <v>1.08</v>
      </c>
      <c r="Z39" s="1256">
        <v>1.62</v>
      </c>
    </row>
    <row r="40" spans="2:26">
      <c r="B40" s="1256"/>
      <c r="C40" s="1257">
        <v>39284</v>
      </c>
      <c r="D40" s="1256">
        <v>6.03</v>
      </c>
      <c r="E40" s="1256">
        <v>6.84</v>
      </c>
      <c r="F40" s="1256">
        <v>7.02</v>
      </c>
      <c r="G40" s="1256">
        <v>7.2</v>
      </c>
      <c r="H40" s="1256">
        <v>7.38</v>
      </c>
      <c r="I40" s="1256">
        <v>4.5</v>
      </c>
      <c r="J40" s="1256">
        <v>4.95</v>
      </c>
      <c r="L40" s="1256"/>
      <c r="M40" s="1257">
        <v>37308</v>
      </c>
      <c r="N40" s="1256">
        <v>0.72</v>
      </c>
      <c r="O40" s="1256">
        <v>1.71</v>
      </c>
      <c r="P40" s="1256">
        <v>1.89</v>
      </c>
      <c r="Q40" s="1256">
        <v>1.98</v>
      </c>
      <c r="R40" s="1256">
        <v>2.25</v>
      </c>
      <c r="S40" s="1256">
        <v>2.52</v>
      </c>
      <c r="T40" s="1256">
        <v>2.79</v>
      </c>
      <c r="U40" s="1256">
        <v>1.71</v>
      </c>
      <c r="V40" s="1256">
        <v>1.89</v>
      </c>
      <c r="W40" s="1256">
        <v>1.98</v>
      </c>
      <c r="X40" s="1256">
        <v>1.44</v>
      </c>
      <c r="Y40" s="1256">
        <v>1.08</v>
      </c>
      <c r="Z40" s="1256">
        <v>1.62</v>
      </c>
    </row>
    <row r="41" spans="2:26">
      <c r="B41" s="1256"/>
      <c r="C41" s="1257">
        <v>39221</v>
      </c>
      <c r="D41" s="1256">
        <v>5.85</v>
      </c>
      <c r="E41" s="1256">
        <v>6.57</v>
      </c>
      <c r="F41" s="1256">
        <v>6.75</v>
      </c>
      <c r="G41" s="1256">
        <v>6.93</v>
      </c>
      <c r="H41" s="1256">
        <v>7.2</v>
      </c>
      <c r="I41" s="1256">
        <v>4.41</v>
      </c>
      <c r="J41" s="1256">
        <v>4.8600000000000003</v>
      </c>
      <c r="L41" s="1256"/>
      <c r="M41" s="1257">
        <v>36321</v>
      </c>
      <c r="N41" s="1256">
        <v>0.99</v>
      </c>
      <c r="O41" s="1256">
        <v>1.98</v>
      </c>
      <c r="P41" s="1256">
        <v>2.16</v>
      </c>
      <c r="Q41" s="1256">
        <v>2.25</v>
      </c>
      <c r="R41" s="1256">
        <v>2.4300000000000002</v>
      </c>
      <c r="S41" s="1256">
        <v>2.7</v>
      </c>
      <c r="T41" s="1256">
        <v>2.88</v>
      </c>
      <c r="U41" s="1256">
        <v>1.98</v>
      </c>
      <c r="V41" s="1256">
        <v>2.16</v>
      </c>
      <c r="W41" s="1256">
        <v>2.25</v>
      </c>
      <c r="X41" s="1256">
        <v>1.71</v>
      </c>
      <c r="Y41" s="1256">
        <v>1.35</v>
      </c>
      <c r="Z41" s="1256">
        <v>1.89</v>
      </c>
    </row>
    <row r="42" spans="2:26">
      <c r="B42" s="1256"/>
      <c r="C42" s="1257">
        <v>39159</v>
      </c>
      <c r="D42" s="1256">
        <v>5.67</v>
      </c>
      <c r="E42" s="1256">
        <v>6.39</v>
      </c>
      <c r="F42" s="1256">
        <v>6.57</v>
      </c>
      <c r="G42" s="1256">
        <v>6.75</v>
      </c>
      <c r="H42" s="1256">
        <v>7.11</v>
      </c>
      <c r="I42" s="1256">
        <v>4.32</v>
      </c>
      <c r="J42" s="1256">
        <v>4.7699999999999996</v>
      </c>
      <c r="L42" s="1256"/>
      <c r="M42" s="1257">
        <v>36136</v>
      </c>
      <c r="N42" s="1256">
        <v>1.44</v>
      </c>
      <c r="O42" s="1256">
        <v>2.79</v>
      </c>
      <c r="P42" s="1256">
        <v>3.33</v>
      </c>
      <c r="Q42" s="1256">
        <v>3.78</v>
      </c>
      <c r="R42" s="1256">
        <v>3.96</v>
      </c>
      <c r="S42" s="1256">
        <v>4.1399999999999997</v>
      </c>
      <c r="T42" s="1256">
        <v>4.5</v>
      </c>
      <c r="U42" s="1256">
        <v>3.33</v>
      </c>
      <c r="V42" s="1256">
        <v>3.78</v>
      </c>
      <c r="W42" s="1256">
        <v>4.1399999999999997</v>
      </c>
      <c r="X42" s="1256">
        <v>2.16</v>
      </c>
      <c r="Y42" s="1256">
        <v>1.8</v>
      </c>
      <c r="Z42" s="1256">
        <v>2.34</v>
      </c>
    </row>
    <row r="43" spans="2:26">
      <c r="B43" s="1256"/>
      <c r="C43" s="1257">
        <v>38948</v>
      </c>
      <c r="D43" s="1256">
        <v>5.58</v>
      </c>
      <c r="E43" s="1256">
        <v>6.12</v>
      </c>
      <c r="F43" s="1256">
        <v>6.3</v>
      </c>
      <c r="G43" s="1256">
        <v>6.48</v>
      </c>
      <c r="H43" s="1256">
        <v>6.84</v>
      </c>
      <c r="I43" s="1256">
        <v>4.1399999999999997</v>
      </c>
      <c r="J43" s="1256">
        <v>4.59</v>
      </c>
      <c r="L43" s="1256"/>
      <c r="M43" s="1257">
        <v>35977</v>
      </c>
      <c r="N43" s="1256">
        <v>1.44</v>
      </c>
      <c r="O43" s="1256">
        <v>2.79</v>
      </c>
      <c r="P43" s="1256">
        <v>3.96</v>
      </c>
      <c r="Q43" s="1256">
        <v>4.7699999999999996</v>
      </c>
      <c r="R43" s="1256">
        <v>4.8600000000000003</v>
      </c>
      <c r="S43" s="1256">
        <v>4.95</v>
      </c>
      <c r="T43" s="1256">
        <v>5.22</v>
      </c>
      <c r="U43" s="1256">
        <v>3.96</v>
      </c>
      <c r="V43" s="1256">
        <v>4.7699999999999996</v>
      </c>
      <c r="W43" s="1256">
        <v>4.95</v>
      </c>
      <c r="X43" s="1256" t="s">
        <v>1147</v>
      </c>
      <c r="Y43" s="1256" t="s">
        <v>1147</v>
      </c>
      <c r="Z43" s="1256" t="s">
        <v>1147</v>
      </c>
    </row>
    <row r="44" spans="2:26">
      <c r="B44" s="1256"/>
      <c r="C44" s="1257">
        <v>38835</v>
      </c>
      <c r="D44" s="1256">
        <v>5.4</v>
      </c>
      <c r="E44" s="1256">
        <v>5.85</v>
      </c>
      <c r="F44" s="1256">
        <v>6.03</v>
      </c>
      <c r="G44" s="1256">
        <v>6.12</v>
      </c>
      <c r="H44" s="1256">
        <v>6.39</v>
      </c>
      <c r="I44" s="1256">
        <v>4.1399999999999997</v>
      </c>
      <c r="J44" s="1256">
        <v>4.59</v>
      </c>
      <c r="L44" s="1256"/>
      <c r="M44" s="1257">
        <v>35879</v>
      </c>
      <c r="N44" s="1256">
        <v>1.71</v>
      </c>
      <c r="O44" s="1256">
        <v>2.88</v>
      </c>
      <c r="P44" s="1256">
        <v>4.1399999999999997</v>
      </c>
      <c r="Q44" s="1256">
        <v>5.22</v>
      </c>
      <c r="R44" s="1256">
        <v>5.58</v>
      </c>
      <c r="S44" s="1256">
        <v>6.21</v>
      </c>
      <c r="T44" s="1256">
        <v>6.66</v>
      </c>
      <c r="U44" s="1256">
        <v>4.1399999999999997</v>
      </c>
      <c r="V44" s="1256">
        <v>5.22</v>
      </c>
      <c r="W44" s="1256">
        <v>6.21</v>
      </c>
      <c r="X44" s="1256" t="s">
        <v>1147</v>
      </c>
      <c r="Y44" s="1256" t="s">
        <v>1147</v>
      </c>
      <c r="Z44" s="1256" t="s">
        <v>1147</v>
      </c>
    </row>
    <row r="45" spans="2:26">
      <c r="B45" s="1256"/>
      <c r="C45" s="1257">
        <v>38428</v>
      </c>
      <c r="D45" s="1256">
        <v>5.22</v>
      </c>
      <c r="E45" s="1256">
        <v>5.58</v>
      </c>
      <c r="F45" s="1256">
        <v>5.76</v>
      </c>
      <c r="G45" s="1256">
        <v>5.85</v>
      </c>
      <c r="H45" s="1256">
        <v>6.12</v>
      </c>
      <c r="I45" s="1256">
        <v>3.96</v>
      </c>
      <c r="J45" s="1256">
        <v>4.41</v>
      </c>
      <c r="L45" s="1256"/>
      <c r="M45" s="1257">
        <v>35726</v>
      </c>
      <c r="N45" s="1256">
        <v>1.71</v>
      </c>
      <c r="O45" s="1256">
        <v>2.88</v>
      </c>
      <c r="P45" s="1256">
        <v>4.1399999999999997</v>
      </c>
      <c r="Q45" s="1256">
        <v>5.67</v>
      </c>
      <c r="R45" s="1256">
        <v>5.94</v>
      </c>
      <c r="S45" s="1256">
        <v>6.21</v>
      </c>
      <c r="T45" s="1256">
        <v>6.66</v>
      </c>
      <c r="U45" s="1256">
        <v>4.1399999999999997</v>
      </c>
      <c r="V45" s="1256">
        <v>5.67</v>
      </c>
      <c r="W45" s="1256">
        <v>6.21</v>
      </c>
      <c r="X45" s="1256" t="s">
        <v>1147</v>
      </c>
      <c r="Y45" s="1256" t="s">
        <v>1147</v>
      </c>
      <c r="Z45" s="1256" t="s">
        <v>1147</v>
      </c>
    </row>
    <row r="46" spans="2:26">
      <c r="B46" s="1256"/>
      <c r="C46" s="1257">
        <v>38289</v>
      </c>
      <c r="D46" s="1256">
        <v>5.22</v>
      </c>
      <c r="E46" s="1256">
        <v>5.58</v>
      </c>
      <c r="F46" s="1256">
        <v>5.76</v>
      </c>
      <c r="G46" s="1256">
        <v>5.85</v>
      </c>
      <c r="H46" s="1256">
        <v>6.12</v>
      </c>
      <c r="I46" s="1256">
        <v>3.78</v>
      </c>
      <c r="J46" s="1256">
        <v>4.2300000000000004</v>
      </c>
      <c r="L46" s="1256"/>
      <c r="M46" s="1257">
        <v>35300</v>
      </c>
      <c r="N46" s="1256">
        <v>1.98</v>
      </c>
      <c r="O46" s="1256">
        <v>3.33</v>
      </c>
      <c r="P46" s="1256">
        <v>5.4</v>
      </c>
      <c r="Q46" s="1256">
        <v>7.47</v>
      </c>
      <c r="R46" s="1256">
        <v>7.92</v>
      </c>
      <c r="S46" s="1256">
        <v>8.2799999999999994</v>
      </c>
      <c r="T46" s="1256">
        <v>9</v>
      </c>
      <c r="U46" s="1256">
        <v>5.4</v>
      </c>
      <c r="V46" s="1256">
        <v>7.47</v>
      </c>
      <c r="W46" s="1256">
        <v>8.2799999999999994</v>
      </c>
      <c r="X46" s="1256" t="s">
        <v>1147</v>
      </c>
      <c r="Y46" s="1256" t="s">
        <v>1147</v>
      </c>
      <c r="Z46" s="1256" t="s">
        <v>1147</v>
      </c>
    </row>
    <row r="47" spans="2:26">
      <c r="B47" s="1256"/>
      <c r="C47" s="1257">
        <v>37308</v>
      </c>
      <c r="D47" s="1256">
        <v>5.04</v>
      </c>
      <c r="E47" s="1256">
        <v>5.31</v>
      </c>
      <c r="F47" s="1256">
        <v>5.49</v>
      </c>
      <c r="G47" s="1256">
        <v>5.58</v>
      </c>
      <c r="H47" s="1256">
        <v>5.76</v>
      </c>
      <c r="I47" s="1256">
        <v>3.6</v>
      </c>
      <c r="J47" s="1256">
        <v>4.05</v>
      </c>
      <c r="L47" s="1256"/>
      <c r="M47" s="1257">
        <v>35186</v>
      </c>
      <c r="N47" s="1256">
        <v>2.97</v>
      </c>
      <c r="O47" s="1256">
        <v>4.8600000000000003</v>
      </c>
      <c r="P47" s="1256">
        <v>7.2</v>
      </c>
      <c r="Q47" s="1256">
        <v>9.18</v>
      </c>
      <c r="R47" s="1256">
        <v>9.9</v>
      </c>
      <c r="S47" s="1256">
        <v>10.8</v>
      </c>
      <c r="T47" s="1256">
        <v>12.06</v>
      </c>
      <c r="U47" s="1256">
        <v>7.2</v>
      </c>
      <c r="V47" s="1256">
        <v>9.18</v>
      </c>
      <c r="W47" s="1256">
        <v>10.8</v>
      </c>
      <c r="X47" s="1256" t="s">
        <v>1147</v>
      </c>
      <c r="Y47" s="1256" t="s">
        <v>1147</v>
      </c>
      <c r="Z47" s="1256" t="s">
        <v>1147</v>
      </c>
    </row>
    <row r="48" spans="2:26">
      <c r="B48" s="1256"/>
      <c r="C48" s="1257">
        <v>36321</v>
      </c>
      <c r="D48" s="1256">
        <v>5.58</v>
      </c>
      <c r="E48" s="1256">
        <v>5.85</v>
      </c>
      <c r="F48" s="1256">
        <v>5.94</v>
      </c>
      <c r="G48" s="1256">
        <v>6.03</v>
      </c>
      <c r="H48" s="1256">
        <v>6.21</v>
      </c>
      <c r="I48" s="1256">
        <v>4.1399999999999997</v>
      </c>
      <c r="J48" s="1256">
        <v>4.59</v>
      </c>
      <c r="L48" s="1256"/>
      <c r="M48" s="1257">
        <v>34161</v>
      </c>
      <c r="N48" s="1256">
        <v>3.15</v>
      </c>
      <c r="O48" s="1256">
        <v>6.66</v>
      </c>
      <c r="P48" s="1256">
        <v>9</v>
      </c>
      <c r="Q48" s="1256">
        <v>10.98</v>
      </c>
      <c r="R48" s="1256">
        <v>11.7</v>
      </c>
      <c r="S48" s="1256">
        <v>12.24</v>
      </c>
      <c r="T48" s="1256">
        <v>13.86</v>
      </c>
      <c r="U48" s="1256">
        <v>9</v>
      </c>
      <c r="V48" s="1256">
        <v>10.98</v>
      </c>
      <c r="W48" s="1256">
        <v>12.24</v>
      </c>
      <c r="X48" s="1256" t="s">
        <v>1147</v>
      </c>
      <c r="Y48" s="1256" t="s">
        <v>1147</v>
      </c>
      <c r="Z48" s="1256" t="s">
        <v>1147</v>
      </c>
    </row>
    <row r="49" spans="2:26">
      <c r="B49" s="1256"/>
      <c r="C49" s="1257">
        <v>36136</v>
      </c>
      <c r="D49" s="1256">
        <v>6.12</v>
      </c>
      <c r="E49" s="1256">
        <v>6.39</v>
      </c>
      <c r="F49" s="1256">
        <v>6.66</v>
      </c>
      <c r="G49" s="1256">
        <v>7.2</v>
      </c>
      <c r="H49" s="1256">
        <v>7.56</v>
      </c>
      <c r="I49" s="1256">
        <v>0</v>
      </c>
      <c r="J49" s="1256">
        <v>0</v>
      </c>
      <c r="L49" s="1256"/>
      <c r="M49" s="1257">
        <v>34104</v>
      </c>
      <c r="N49" s="1256">
        <v>2.16</v>
      </c>
      <c r="O49" s="1256">
        <v>4.8600000000000003</v>
      </c>
      <c r="P49" s="1256">
        <v>7.2</v>
      </c>
      <c r="Q49" s="1256">
        <v>9.18</v>
      </c>
      <c r="R49" s="1256">
        <v>9.9</v>
      </c>
      <c r="S49" s="1256">
        <v>10.8</v>
      </c>
      <c r="T49" s="1256">
        <v>12.06</v>
      </c>
      <c r="U49" s="1256">
        <v>7.2</v>
      </c>
      <c r="V49" s="1256">
        <v>9.18</v>
      </c>
      <c r="W49" s="1256">
        <v>10.8</v>
      </c>
      <c r="X49" s="1256" t="s">
        <v>1147</v>
      </c>
      <c r="Y49" s="1256" t="s">
        <v>1147</v>
      </c>
      <c r="Z49" s="1256" t="s">
        <v>1147</v>
      </c>
    </row>
    <row r="50" spans="2:26">
      <c r="B50" s="1256"/>
      <c r="C50" s="1257">
        <v>35977</v>
      </c>
      <c r="D50" s="1256">
        <v>6.57</v>
      </c>
      <c r="E50" s="1256">
        <v>6.93</v>
      </c>
      <c r="F50" s="1256">
        <v>7.11</v>
      </c>
      <c r="G50" s="1256">
        <v>7.65</v>
      </c>
      <c r="H50" s="1256">
        <v>8.01</v>
      </c>
      <c r="I50" s="1256">
        <v>0</v>
      </c>
      <c r="J50" s="1256">
        <v>0</v>
      </c>
      <c r="L50" s="1256"/>
      <c r="M50" s="1257">
        <v>33349</v>
      </c>
      <c r="N50" s="1256">
        <v>1.8</v>
      </c>
      <c r="O50" s="1256">
        <v>3.24</v>
      </c>
      <c r="P50" s="1256">
        <v>5.4</v>
      </c>
      <c r="Q50" s="1256">
        <v>7.56</v>
      </c>
      <c r="R50" s="1256">
        <v>7.92</v>
      </c>
      <c r="S50" s="1256">
        <v>8.2799999999999994</v>
      </c>
      <c r="T50" s="1256">
        <v>9</v>
      </c>
      <c r="U50" s="1256">
        <v>6.12</v>
      </c>
      <c r="V50" s="1256">
        <v>6.84</v>
      </c>
      <c r="W50" s="1256">
        <v>7.56</v>
      </c>
      <c r="X50" s="1256" t="s">
        <v>1147</v>
      </c>
      <c r="Y50" s="1256" t="s">
        <v>1147</v>
      </c>
      <c r="Z50" s="1256" t="s">
        <v>1147</v>
      </c>
    </row>
    <row r="51" spans="2:26">
      <c r="B51" s="1256"/>
      <c r="C51" s="1257">
        <v>35879</v>
      </c>
      <c r="D51" s="1256">
        <v>7.02</v>
      </c>
      <c r="E51" s="1256">
        <v>7.92</v>
      </c>
      <c r="F51" s="1256">
        <v>9</v>
      </c>
      <c r="G51" s="1256">
        <v>9.7200000000000006</v>
      </c>
      <c r="H51" s="1256">
        <v>10.35</v>
      </c>
      <c r="I51" s="1256">
        <v>0</v>
      </c>
      <c r="J51" s="1256">
        <v>0</v>
      </c>
      <c r="L51" s="1256"/>
      <c r="M51" s="1257">
        <v>33106</v>
      </c>
      <c r="N51" s="1256">
        <v>2.16</v>
      </c>
      <c r="O51" s="1256">
        <v>4.32</v>
      </c>
      <c r="P51" s="1256">
        <v>6.48</v>
      </c>
      <c r="Q51" s="1256">
        <v>8.64</v>
      </c>
      <c r="R51" s="1256">
        <v>9.36</v>
      </c>
      <c r="S51" s="1256">
        <v>10.08</v>
      </c>
      <c r="T51" s="1256">
        <v>11.52</v>
      </c>
      <c r="U51" s="1256">
        <v>7.2</v>
      </c>
      <c r="V51" s="1256">
        <v>8.64</v>
      </c>
      <c r="W51" s="1256">
        <v>10.08</v>
      </c>
      <c r="X51" s="1256" t="s">
        <v>1147</v>
      </c>
      <c r="Y51" s="1256" t="s">
        <v>1147</v>
      </c>
      <c r="Z51" s="1256" t="s">
        <v>1147</v>
      </c>
    </row>
    <row r="52" spans="2:26">
      <c r="B52" s="1256"/>
      <c r="C52" s="1257">
        <v>35726</v>
      </c>
      <c r="D52" s="1256">
        <v>7.65</v>
      </c>
      <c r="E52" s="1256">
        <v>8.64</v>
      </c>
      <c r="F52" s="1256">
        <v>9.36</v>
      </c>
      <c r="G52" s="1256">
        <v>9.9</v>
      </c>
      <c r="H52" s="1256">
        <v>10.53</v>
      </c>
      <c r="I52" s="1256">
        <v>0</v>
      </c>
      <c r="J52" s="1256">
        <v>0</v>
      </c>
      <c r="L52" s="1256"/>
      <c r="M52" s="1257">
        <v>32978</v>
      </c>
      <c r="N52" s="1256">
        <v>2.88</v>
      </c>
      <c r="O52" s="1256">
        <v>6.3</v>
      </c>
      <c r="P52" s="1256">
        <v>7.74</v>
      </c>
      <c r="Q52" s="1256">
        <v>10.08</v>
      </c>
      <c r="R52" s="1256">
        <v>10.98</v>
      </c>
      <c r="S52" s="1256">
        <v>11.88</v>
      </c>
      <c r="T52" s="1256">
        <v>13.68</v>
      </c>
      <c r="U52" s="1256" t="s">
        <v>1147</v>
      </c>
      <c r="V52" s="1256" t="s">
        <v>1147</v>
      </c>
      <c r="W52" s="1256" t="s">
        <v>1147</v>
      </c>
      <c r="X52" s="1256" t="s">
        <v>1147</v>
      </c>
      <c r="Y52" s="1256" t="s">
        <v>1147</v>
      </c>
      <c r="Z52" s="1256" t="s">
        <v>1147</v>
      </c>
    </row>
    <row r="53" spans="2:26">
      <c r="B53" s="1256"/>
      <c r="C53" s="1257">
        <v>35300</v>
      </c>
      <c r="D53" s="1256">
        <v>9.18</v>
      </c>
      <c r="E53" s="1256">
        <v>10.08</v>
      </c>
      <c r="F53" s="1256">
        <v>10.98</v>
      </c>
      <c r="G53" s="1256">
        <v>11.7</v>
      </c>
      <c r="H53" s="1256">
        <v>12.42</v>
      </c>
      <c r="I53" s="1256">
        <v>0</v>
      </c>
      <c r="J53" s="1256">
        <v>0</v>
      </c>
      <c r="L53" s="1256"/>
      <c r="M53" s="1257"/>
      <c r="N53" s="1256"/>
      <c r="O53" s="1256"/>
      <c r="P53" s="1256"/>
      <c r="Q53" s="1256"/>
      <c r="R53" s="1256"/>
      <c r="S53" s="1256"/>
      <c r="T53" s="1256"/>
      <c r="U53" s="1256"/>
      <c r="V53" s="1256"/>
      <c r="W53" s="1256"/>
      <c r="X53" s="1256"/>
      <c r="Y53" s="1256"/>
      <c r="Z53" s="1256"/>
    </row>
    <row r="54" spans="2:26">
      <c r="B54" s="1256"/>
      <c r="C54" s="1257">
        <v>35186</v>
      </c>
      <c r="D54" s="1256">
        <v>9.7200000000000006</v>
      </c>
      <c r="E54" s="1256">
        <v>10.98</v>
      </c>
      <c r="F54" s="1256">
        <v>13.14</v>
      </c>
      <c r="G54" s="1256">
        <v>14.94</v>
      </c>
      <c r="H54" s="1256">
        <v>15.12</v>
      </c>
      <c r="I54" s="1256">
        <v>0</v>
      </c>
      <c r="J54" s="1256">
        <v>0</v>
      </c>
      <c r="L54" s="1256"/>
      <c r="M54" s="1257"/>
      <c r="N54" s="1256"/>
      <c r="O54" s="1256"/>
      <c r="P54" s="1256"/>
      <c r="Q54" s="1256"/>
      <c r="R54" s="1256"/>
      <c r="S54" s="1256"/>
      <c r="T54" s="1256"/>
      <c r="U54" s="1256"/>
      <c r="V54" s="1256"/>
      <c r="W54" s="1256"/>
      <c r="X54" s="1256"/>
      <c r="Y54" s="1256"/>
      <c r="Z54" s="1256"/>
    </row>
    <row r="55" spans="2:26">
      <c r="B55" s="1256"/>
      <c r="C55" s="1257">
        <v>34881</v>
      </c>
      <c r="D55" s="1256">
        <v>10.08</v>
      </c>
      <c r="E55" s="1256">
        <v>12.06</v>
      </c>
      <c r="F55" s="1256">
        <v>13.5</v>
      </c>
      <c r="G55" s="1256">
        <v>15.12</v>
      </c>
      <c r="H55" s="1256">
        <v>15.3</v>
      </c>
      <c r="I55" s="1256">
        <v>0</v>
      </c>
      <c r="J55" s="1256">
        <v>0</v>
      </c>
      <c r="L55" s="1256"/>
      <c r="M55" s="1257"/>
      <c r="N55" s="1256"/>
      <c r="O55" s="1256"/>
      <c r="P55" s="1256"/>
      <c r="Q55" s="1256"/>
      <c r="R55" s="1256"/>
      <c r="S55" s="1256"/>
      <c r="T55" s="1256"/>
      <c r="U55" s="1256"/>
      <c r="V55" s="1256"/>
      <c r="W55" s="1256"/>
      <c r="X55" s="1256"/>
      <c r="Y55" s="1256"/>
      <c r="Z55" s="1256"/>
    </row>
    <row r="56" spans="2:26">
      <c r="B56" s="1256"/>
      <c r="C56" s="1257">
        <v>34700</v>
      </c>
      <c r="D56" s="1256">
        <v>9</v>
      </c>
      <c r="E56" s="1256">
        <v>10.98</v>
      </c>
      <c r="F56" s="1256">
        <v>12.96</v>
      </c>
      <c r="G56" s="1256">
        <v>14.58</v>
      </c>
      <c r="H56" s="1256">
        <v>14.76</v>
      </c>
      <c r="I56" s="1256">
        <v>0</v>
      </c>
      <c r="J56" s="1256">
        <v>0</v>
      </c>
      <c r="L56" s="1256"/>
      <c r="M56" s="1257"/>
      <c r="N56" s="1256"/>
      <c r="O56" s="1256"/>
      <c r="P56" s="1256"/>
      <c r="Q56" s="1256"/>
      <c r="R56" s="1256"/>
      <c r="S56" s="1256"/>
      <c r="T56" s="1256"/>
      <c r="U56" s="1256"/>
      <c r="V56" s="1256"/>
      <c r="W56" s="1256"/>
      <c r="X56" s="1256"/>
      <c r="Y56" s="1256"/>
      <c r="Z56" s="1256"/>
    </row>
    <row r="57" spans="2:26">
      <c r="B57" s="1256"/>
      <c r="C57" s="1257">
        <v>34161</v>
      </c>
      <c r="D57" s="1256">
        <v>9</v>
      </c>
      <c r="E57" s="1256">
        <v>10.98</v>
      </c>
      <c r="F57" s="1256">
        <v>12.24</v>
      </c>
      <c r="G57" s="1256">
        <v>13.86</v>
      </c>
      <c r="H57" s="1256">
        <v>14.04</v>
      </c>
      <c r="I57" s="1256">
        <v>0</v>
      </c>
      <c r="J57" s="1256">
        <v>0</v>
      </c>
      <c r="L57" s="1256"/>
      <c r="M57" s="1257"/>
      <c r="N57" s="1256"/>
      <c r="O57" s="1256"/>
      <c r="P57" s="1256"/>
      <c r="Q57" s="1256"/>
      <c r="R57" s="1256"/>
      <c r="S57" s="1256"/>
      <c r="T57" s="1256"/>
      <c r="U57" s="1256"/>
      <c r="V57" s="1256"/>
      <c r="W57" s="1256"/>
      <c r="X57" s="1256"/>
      <c r="Y57" s="1256"/>
      <c r="Z57" s="1256"/>
    </row>
    <row r="58" spans="2:26">
      <c r="B58" s="1256"/>
      <c r="C58" s="1257">
        <v>34104</v>
      </c>
      <c r="D58" s="1256">
        <v>8.82</v>
      </c>
      <c r="E58" s="1256">
        <v>9.36</v>
      </c>
      <c r="F58" s="1256">
        <v>10.8</v>
      </c>
      <c r="G58" s="1256">
        <v>12.06</v>
      </c>
      <c r="H58" s="1256">
        <v>12.24</v>
      </c>
      <c r="I58" s="1256">
        <v>0</v>
      </c>
      <c r="J58" s="1256">
        <v>0</v>
      </c>
      <c r="L58" s="1256"/>
      <c r="M58" s="1257"/>
      <c r="N58" s="1256"/>
      <c r="O58" s="1256"/>
      <c r="P58" s="1256"/>
      <c r="Q58" s="1256"/>
      <c r="R58" s="1256"/>
      <c r="S58" s="1256"/>
      <c r="T58" s="1256"/>
      <c r="U58" s="1256"/>
      <c r="V58" s="1256"/>
      <c r="W58" s="1256"/>
      <c r="X58" s="1256"/>
      <c r="Y58" s="1256"/>
      <c r="Z58" s="1256"/>
    </row>
    <row r="59" spans="2:26">
      <c r="B59" s="1256"/>
      <c r="C59" s="1257">
        <v>33349</v>
      </c>
      <c r="D59" s="1256">
        <v>8.1</v>
      </c>
      <c r="E59" s="1256">
        <v>8.64</v>
      </c>
      <c r="F59" s="1256">
        <v>9</v>
      </c>
      <c r="G59" s="1256">
        <v>9.5399999999999991</v>
      </c>
      <c r="H59" s="1256">
        <v>9.7200000000000006</v>
      </c>
      <c r="I59" s="1256">
        <v>0</v>
      </c>
      <c r="J59" s="1256">
        <v>0</v>
      </c>
    </row>
    <row r="60" spans="2:26">
      <c r="B60" s="1256"/>
      <c r="C60" s="1257">
        <v>33318</v>
      </c>
      <c r="D60" s="1256">
        <v>9</v>
      </c>
      <c r="E60" s="1256">
        <v>10.08</v>
      </c>
      <c r="F60" s="1256">
        <v>10.8</v>
      </c>
      <c r="G60" s="1256">
        <v>11.52</v>
      </c>
      <c r="H60" s="1256">
        <v>11.88</v>
      </c>
      <c r="I60" s="1256" t="s">
        <v>1147</v>
      </c>
      <c r="J60" s="1256" t="s">
        <v>1147</v>
      </c>
    </row>
    <row r="61" spans="2:26">
      <c r="B61" s="1256"/>
      <c r="C61" s="1257">
        <v>33106</v>
      </c>
      <c r="D61" s="1256">
        <v>8.64</v>
      </c>
      <c r="E61" s="1256">
        <v>9.36</v>
      </c>
      <c r="F61" s="1256">
        <v>10.08</v>
      </c>
      <c r="G61" s="1256">
        <v>10.8</v>
      </c>
      <c r="H61" s="1256">
        <v>11.16</v>
      </c>
      <c r="I61" s="1256">
        <v>0</v>
      </c>
      <c r="J61" s="1256">
        <v>0</v>
      </c>
    </row>
    <row r="62" spans="2:26">
      <c r="B62" s="1256"/>
      <c r="C62" s="1257">
        <v>32540</v>
      </c>
      <c r="D62" s="1256">
        <v>11.34</v>
      </c>
      <c r="E62" s="1256">
        <v>11.34</v>
      </c>
      <c r="F62" s="1256">
        <v>12.78</v>
      </c>
      <c r="G62" s="1256">
        <v>14.4</v>
      </c>
      <c r="H62" s="1256">
        <v>19.260000000000002</v>
      </c>
      <c r="I62" s="1256">
        <v>0</v>
      </c>
      <c r="J62" s="1256">
        <v>0</v>
      </c>
    </row>
    <row r="63" spans="2:26">
      <c r="B63" s="1256"/>
      <c r="C63" s="1257"/>
      <c r="D63" s="1256"/>
      <c r="E63" s="1256"/>
      <c r="F63" s="1256"/>
      <c r="G63" s="1256"/>
      <c r="H63" s="1256"/>
      <c r="I63" s="1256"/>
      <c r="J63" s="1256"/>
    </row>
    <row r="64" spans="2:26">
      <c r="B64" s="1260"/>
      <c r="C64" s="1261"/>
      <c r="D64" s="1260"/>
      <c r="E64" s="1260"/>
      <c r="F64" s="1260"/>
      <c r="G64" s="1260"/>
      <c r="H64" s="1260"/>
      <c r="I64" s="1260"/>
      <c r="J64" s="1260"/>
    </row>
    <row r="65" spans="2:10">
      <c r="B65" s="1260"/>
      <c r="C65" s="1261"/>
      <c r="D65" s="1260"/>
      <c r="E65" s="1260"/>
      <c r="F65" s="1260"/>
      <c r="G65" s="1260"/>
      <c r="H65" s="1260"/>
      <c r="I65" s="1260"/>
      <c r="J65" s="1260"/>
    </row>
    <row r="66" spans="2:10">
      <c r="B66" s="1260"/>
      <c r="C66" s="1261"/>
      <c r="D66" s="1260"/>
      <c r="E66" s="1260"/>
      <c r="F66" s="1260"/>
      <c r="G66" s="1260"/>
      <c r="H66" s="1260"/>
      <c r="I66" s="1260"/>
      <c r="J66" s="1260"/>
    </row>
    <row r="67" spans="2:10">
      <c r="B67" s="1207"/>
      <c r="C67" s="1207"/>
      <c r="D67" s="1207"/>
      <c r="E67" s="1207"/>
      <c r="F67" s="1207"/>
      <c r="G67" s="1207"/>
      <c r="H67" s="1207"/>
      <c r="I67" s="1207"/>
      <c r="J67" s="1207"/>
    </row>
    <row r="68" spans="2:10">
      <c r="B68" s="1207"/>
      <c r="C68" s="1207"/>
      <c r="D68" s="1207"/>
      <c r="E68" s="1207"/>
      <c r="F68" s="1207"/>
      <c r="G68" s="1207"/>
      <c r="H68" s="1207"/>
      <c r="I68" s="1207"/>
      <c r="J68" s="120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2:O4"/>
  <sheetViews>
    <sheetView topLeftCell="A79" workbookViewId="0">
      <selection activeCell="A83" sqref="A83"/>
    </sheetView>
  </sheetViews>
  <sheetFormatPr defaultRowHeight="13.5"/>
  <cols>
    <col min="14" max="14" width="11" bestFit="1" customWidth="1"/>
    <col min="15" max="15" width="12.75" bestFit="1" customWidth="1"/>
  </cols>
  <sheetData>
    <row r="2" spans="14:15">
      <c r="N2" s="1310"/>
    </row>
    <row r="3" spans="14:15">
      <c r="N3" s="1310" t="s">
        <v>3013</v>
      </c>
      <c r="O3" s="1310">
        <v>31000</v>
      </c>
    </row>
    <row r="4" spans="14:15">
      <c r="N4" s="1310" t="s">
        <v>3014</v>
      </c>
      <c r="O4" s="1310" t="s">
        <v>3015</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0" customWidth="1"/>
    <col min="2" max="2" width="37.875" style="1310" customWidth="1"/>
    <col min="3" max="3" width="16.125" style="1310" customWidth="1"/>
    <col min="4" max="4" width="22.25" style="1310" customWidth="1"/>
    <col min="5" max="5" width="4.125" style="1310" customWidth="1"/>
    <col min="6" max="7" width="13" style="1310" customWidth="1"/>
    <col min="8" max="16384" width="9" style="1310"/>
  </cols>
  <sheetData>
    <row r="1" spans="1:5" ht="18.75">
      <c r="A1" s="1330" t="s">
        <v>774</v>
      </c>
      <c r="B1" s="1328"/>
      <c r="C1" s="1328"/>
      <c r="D1" s="1328"/>
      <c r="E1" s="1328"/>
    </row>
    <row r="2" spans="1:5" ht="78.75" customHeight="1">
      <c r="A2" s="332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6"/>
      <c r="C2" s="3326"/>
      <c r="D2" s="3326"/>
      <c r="E2" s="3326"/>
    </row>
    <row r="3" spans="1:5" ht="13.5" customHeight="1">
      <c r="A3" s="1331"/>
      <c r="B3" s="1331"/>
      <c r="C3" s="1331"/>
      <c r="D3" s="1331"/>
      <c r="E3" s="1331"/>
    </row>
    <row r="4" spans="1:5" ht="19.5" thickBot="1">
      <c r="A4" s="3327" t="str">
        <f>IF(项目基本情况!D5="房地产市场价值","估价结果一览表（市场价值不需本页表格)","估价结果一览表")</f>
        <v>估价结果一览表</v>
      </c>
      <c r="B4" s="3327"/>
      <c r="C4" s="3327"/>
      <c r="D4" s="3327"/>
      <c r="E4" s="3327"/>
    </row>
    <row r="5" spans="1:5" ht="14.25" customHeight="1" thickTop="1">
      <c r="A5" s="1328"/>
      <c r="B5" s="1332" t="s">
        <v>742</v>
      </c>
      <c r="C5" s="3328" t="s">
        <v>775</v>
      </c>
      <c r="D5" s="3329"/>
      <c r="E5" s="1328"/>
    </row>
    <row r="6" spans="1:5" ht="14.25">
      <c r="A6" s="1328"/>
      <c r="B6" s="1333" t="str">
        <f>项目基本情况!I1</f>
        <v>北京市房地产</v>
      </c>
      <c r="C6" s="3330">
        <f>项目基本情况!C12</f>
        <v>393.43</v>
      </c>
      <c r="D6" s="3330"/>
      <c r="E6" s="1328"/>
    </row>
    <row r="7" spans="1:5" ht="14.25">
      <c r="A7" s="1328"/>
      <c r="B7" s="3324" t="s">
        <v>776</v>
      </c>
      <c r="C7" s="1334" t="str">
        <f>IF('数据-取费表'!B3="万元","总价（万元）","总价（元）")</f>
        <v>总价（万元）</v>
      </c>
      <c r="D7" s="1335">
        <f ca="1">IF('数据-取费表'!E3="否",结果表!I102,'结果表 (1修多)'!I104)</f>
        <v>1082</v>
      </c>
      <c r="E7" s="1328"/>
    </row>
    <row r="8" spans="1:5" ht="14.25">
      <c r="A8" s="1328"/>
      <c r="B8" s="3324"/>
      <c r="C8" s="1336" t="s">
        <v>1106</v>
      </c>
      <c r="D8" s="1337" t="str">
        <f ca="1">IF('数据-取费表'!B3="万元",NUMBERSTRING(INT(D7*10000),2)&amp;"元整",NUMBERSTRING(INT(D7),2)&amp;"元整")</f>
        <v>壹仟零捌拾贰万元整</v>
      </c>
      <c r="E8" s="1328"/>
    </row>
    <row r="9" spans="1:5" ht="14.25">
      <c r="A9" s="1328"/>
      <c r="B9" s="3324"/>
      <c r="C9" s="1338" t="s">
        <v>1203</v>
      </c>
      <c r="D9" s="1335">
        <f ca="1">IF('数据-取费表'!E3="否",结果表!I103,'结果表 (1修多)'!I105)</f>
        <v>27502</v>
      </c>
      <c r="E9" s="1328"/>
    </row>
    <row r="10" spans="1:5" ht="14.25">
      <c r="A10" s="1328"/>
      <c r="B10" s="3331" t="str">
        <f>IF('数据-取费表'!E3="否",结果表!F105,'结果表 (1修多)'!F107)</f>
        <v>2.估价师所知悉的法定优先受偿款</v>
      </c>
      <c r="C10" s="1339" t="str">
        <f>IF('数据-取费表'!B3="万元","总额（万元）","总额（元）")</f>
        <v>总额（万元）</v>
      </c>
      <c r="D10" s="1335">
        <f>IF('数据-取费表'!E3="否",结果表!I105,'结果表 (1修多)'!I107)</f>
        <v>0</v>
      </c>
      <c r="E10" s="1328"/>
    </row>
    <row r="11" spans="1:5" ht="14.25">
      <c r="A11" s="1328"/>
      <c r="B11" s="3331"/>
      <c r="C11" s="1336" t="s">
        <v>1106</v>
      </c>
      <c r="D11" s="1337" t="str">
        <f>IF('数据-取费表'!B3="万元",NUMBERSTRING(INT(D10*10000),2)&amp;"元整",NUMBERSTRING(INT(D10),2)&amp;"元整")</f>
        <v>零元整</v>
      </c>
      <c r="E11" s="1328"/>
    </row>
    <row r="12" spans="1:5" ht="14.25">
      <c r="A12" s="1328"/>
      <c r="B12" s="1340" t="s">
        <v>743</v>
      </c>
      <c r="C12" s="1341" t="str">
        <f>C10</f>
        <v>总额（万元）</v>
      </c>
      <c r="D12" s="1342">
        <f>IF('数据-取费表'!E3="否",结果表!I106,'结果表 (1修多)'!I108)</f>
        <v>0</v>
      </c>
      <c r="E12" s="1328"/>
    </row>
    <row r="13" spans="1:5" ht="14.25">
      <c r="A13" s="1328"/>
      <c r="B13" s="1340" t="s">
        <v>744</v>
      </c>
      <c r="C13" s="1341" t="str">
        <f>C10</f>
        <v>总额（万元）</v>
      </c>
      <c r="D13" s="1342">
        <f>IF('数据-取费表'!E3="否",结果表!I107,'结果表 (1修多)'!I109)</f>
        <v>0</v>
      </c>
      <c r="E13" s="1328"/>
    </row>
    <row r="14" spans="1:5" ht="14.25">
      <c r="A14" s="1328"/>
      <c r="B14" s="1340" t="s">
        <v>745</v>
      </c>
      <c r="C14" s="1341" t="str">
        <f>C10</f>
        <v>总额（万元）</v>
      </c>
      <c r="D14" s="1342">
        <f>IF('数据-取费表'!E3="否",结果表!I108,'结果表 (1修多)'!I110)</f>
        <v>0</v>
      </c>
      <c r="E14" s="1328"/>
    </row>
    <row r="15" spans="1:5" ht="14.25">
      <c r="A15" s="1328"/>
      <c r="B15" s="3331" t="str">
        <f>IF('数据-取费表'!E3="否",结果表!F110,'结果表 (1修多)'!F112)</f>
        <v>3.房地产抵押价值</v>
      </c>
      <c r="C15" s="1329" t="str">
        <f>C7</f>
        <v>总价（万元）</v>
      </c>
      <c r="D15" s="1335">
        <f ca="1">IF('数据-取费表'!E3="否",结果表!I110,'结果表 (1修多)'!I112)</f>
        <v>1082</v>
      </c>
      <c r="E15" s="1328"/>
    </row>
    <row r="16" spans="1:5" ht="14.25">
      <c r="A16" s="1328"/>
      <c r="B16" s="3331"/>
      <c r="C16" s="1336" t="s">
        <v>1106</v>
      </c>
      <c r="D16" s="1335" t="str">
        <f ca="1">IF('数据-取费表'!B3="万元",NUMBERSTRING(INT(D15*10000),2)&amp;"元整",NUMBERSTRING(INT(D15),2)&amp;"元整")</f>
        <v>壹仟零捌拾贰万元整</v>
      </c>
      <c r="E16" s="1328"/>
    </row>
    <row r="17" spans="1:5" ht="14.25">
      <c r="A17" s="1328"/>
      <c r="B17" s="3331"/>
      <c r="C17" s="1338" t="s">
        <v>1203</v>
      </c>
      <c r="D17" s="1335">
        <f ca="1">IF('数据-取费表'!E3="否",结果表!I111,'结果表 (1修多)'!I113)</f>
        <v>27502</v>
      </c>
      <c r="E17" s="1328"/>
    </row>
    <row r="18" spans="1:5" ht="14.25">
      <c r="A18" s="1328"/>
      <c r="B18" s="3331" t="str">
        <f>IF('数据-取费表'!E3="否",结果表!F112,'结果表 (1修多)'!F114)</f>
        <v>——</v>
      </c>
      <c r="C18" s="1329" t="str">
        <f>C7</f>
        <v>总价（万元）</v>
      </c>
      <c r="D18" s="1335" t="str">
        <f>IF('数据-取费表'!E3="否",结果表!I112,'结果表 (1修多)'!I114)</f>
        <v>——</v>
      </c>
      <c r="E18" s="1328"/>
    </row>
    <row r="19" spans="1:5" ht="14.25">
      <c r="A19" s="1328"/>
      <c r="B19" s="3331"/>
      <c r="C19" s="1336" t="s">
        <v>1106</v>
      </c>
      <c r="D19" s="1335" t="e">
        <f>IF('数据-取费表'!B3="万元",NUMBERSTRING(INT(D18*10000),2)&amp;"元整",NUMBERSTRING(INT(D18),2)&amp;"元整")</f>
        <v>#VALUE!</v>
      </c>
      <c r="E19" s="1328"/>
    </row>
    <row r="20" spans="1:5" ht="14.25">
      <c r="A20" s="1328"/>
      <c r="B20" s="3331"/>
      <c r="C20" s="1338" t="s">
        <v>1203</v>
      </c>
      <c r="D20" s="1335" t="str">
        <f>IF('数据-取费表'!E3="否",结果表!I113,'结果表 (1修多)'!I115)</f>
        <v>——</v>
      </c>
      <c r="E20" s="1328"/>
    </row>
    <row r="21" spans="1:5" ht="14.25">
      <c r="A21" s="1328"/>
      <c r="B21" s="3324" t="str">
        <f>IF('数据-取费表'!E3="否",结果表!F114,'结果表 (1修多)'!F116)</f>
        <v>——</v>
      </c>
      <c r="C21" s="1334" t="str">
        <f>C7</f>
        <v>总价（万元）</v>
      </c>
      <c r="D21" s="1335" t="str">
        <f>IF('数据-取费表'!E3="否",结果表!I114,'结果表 (1修多)'!I116)</f>
        <v>——</v>
      </c>
      <c r="E21" s="1328"/>
    </row>
    <row r="22" spans="1:5" ht="14.25">
      <c r="A22" s="1328"/>
      <c r="B22" s="3324"/>
      <c r="C22" s="1336" t="s">
        <v>1106</v>
      </c>
      <c r="D22" s="1337" t="e">
        <f>IF('数据-取费表'!B3="万元",NUMBERSTRING(INT(D21*10000),2)&amp;"元整",NUMBERSTRING(INT(D21),2)&amp;"元整")</f>
        <v>#VALUE!</v>
      </c>
      <c r="E22" s="1328"/>
    </row>
    <row r="23" spans="1:5" ht="15" thickBot="1">
      <c r="A23" s="1328"/>
      <c r="B23" s="3325"/>
      <c r="C23" s="1343" t="s">
        <v>1203</v>
      </c>
      <c r="D23" s="1344" t="str">
        <f ca="1">IF('数据-取费表'!E3="否",结果表!I115,'结果表 (1修多)'!I117)</f>
        <v>——</v>
      </c>
      <c r="E23" s="1328"/>
    </row>
    <row r="24" spans="1:5" ht="14.25" thickTop="1">
      <c r="A24" s="1328"/>
      <c r="B24" s="1328"/>
      <c r="C24" s="1328"/>
      <c r="D24" s="1328"/>
      <c r="E24" s="1328"/>
    </row>
    <row r="25" spans="1:5" ht="18.75" customHeight="1" thickBot="1">
      <c r="A25" s="1328"/>
      <c r="B25" s="3339" t="s">
        <v>1204</v>
      </c>
      <c r="C25" s="3339"/>
      <c r="D25" s="3339"/>
      <c r="E25" s="1328"/>
    </row>
    <row r="26" spans="1:5" ht="18.75" customHeight="1" thickTop="1">
      <c r="A26" s="1328"/>
      <c r="B26" s="3342" t="s">
        <v>1105</v>
      </c>
      <c r="C26" s="3343"/>
      <c r="D26" s="3340" t="s">
        <v>1104</v>
      </c>
      <c r="E26" s="1328"/>
    </row>
    <row r="27" spans="1:5" ht="18.75" customHeight="1">
      <c r="A27" s="1328"/>
      <c r="B27" s="3344"/>
      <c r="C27" s="3345"/>
      <c r="D27" s="3341"/>
      <c r="E27" s="1328"/>
    </row>
    <row r="28" spans="1:5" ht="14.25">
      <c r="A28" s="1328"/>
      <c r="B28" s="3332" t="s">
        <v>776</v>
      </c>
      <c r="C28" s="1345" t="s">
        <v>1107</v>
      </c>
      <c r="D28" s="1346">
        <f ca="1">IF('数据-取费表'!E3="否",结果表!I102,'结果表 (1修多)'!I104)</f>
        <v>1082</v>
      </c>
      <c r="E28" s="1328"/>
    </row>
    <row r="29" spans="1:5" ht="14.25">
      <c r="A29" s="1328"/>
      <c r="B29" s="3333"/>
      <c r="C29" s="1347" t="s">
        <v>1106</v>
      </c>
      <c r="D29" s="1348" t="str">
        <f ca="1">IF('数据-取费表'!B3="万元",NUMBERSTRING(INT(D28*10000),2)&amp;"元整",NUMBERSTRING(INT(D28),2)&amp;"元整")</f>
        <v>壹仟零捌拾贰万元整</v>
      </c>
      <c r="E29" s="1328"/>
    </row>
    <row r="30" spans="1:5" ht="14.25">
      <c r="A30" s="1328"/>
      <c r="B30" s="3334"/>
      <c r="C30" s="1338" t="s">
        <v>1109</v>
      </c>
      <c r="D30" s="1349">
        <f ca="1">IF('数据-取费表'!E3="否",结果表!I103,'结果表 (1修多)'!I105)</f>
        <v>27502</v>
      </c>
      <c r="E30" s="1328"/>
    </row>
    <row r="31" spans="1:5" ht="14.25">
      <c r="A31" s="1328"/>
      <c r="B31" s="3337" t="str">
        <f>B10</f>
        <v>2.估价师所知悉的法定优先受偿款</v>
      </c>
      <c r="C31" s="1350" t="s">
        <v>1108</v>
      </c>
      <c r="D31" s="1351">
        <f>IF('数据-取费表'!E3="否",结果表!I105,'结果表 (1修多)'!I107)</f>
        <v>0</v>
      </c>
      <c r="E31" s="1328"/>
    </row>
    <row r="32" spans="1:5" ht="14.25">
      <c r="A32" s="1328"/>
      <c r="B32" s="3346"/>
      <c r="C32" s="1347" t="s">
        <v>1106</v>
      </c>
      <c r="D32" s="1352" t="str">
        <f>IF('数据-取费表'!B3="万元",NUMBERSTRING(INT(D31*10000),2)&amp;"元整",NUMBERSTRING(INT(D31),2)&amp;"元整")</f>
        <v>零元整</v>
      </c>
      <c r="E32" s="1328"/>
    </row>
    <row r="33" spans="1:5" ht="14.25">
      <c r="A33" s="1328"/>
      <c r="B33" s="1336" t="s">
        <v>1089</v>
      </c>
      <c r="C33" s="1336" t="str">
        <f>C31</f>
        <v>总额</v>
      </c>
      <c r="D33" s="1349">
        <f>IF('数据-取费表'!E3="否",结果表!I106,'结果表 (1修多)'!I108)</f>
        <v>0</v>
      </c>
      <c r="E33" s="1328"/>
    </row>
    <row r="34" spans="1:5" ht="14.25">
      <c r="A34" s="1328"/>
      <c r="B34" s="1336" t="s">
        <v>1090</v>
      </c>
      <c r="C34" s="1336" t="str">
        <f>C31</f>
        <v>总额</v>
      </c>
      <c r="D34" s="1349">
        <f>IF('数据-取费表'!E3="否",结果表!I107,'结果表 (1修多)'!I109)</f>
        <v>0</v>
      </c>
      <c r="E34" s="1328"/>
    </row>
    <row r="35" spans="1:5" ht="14.25">
      <c r="A35" s="1328"/>
      <c r="B35" s="1336" t="s">
        <v>1091</v>
      </c>
      <c r="C35" s="1336" t="str">
        <f>C31</f>
        <v>总额</v>
      </c>
      <c r="D35" s="1349">
        <f>IF('数据-取费表'!E3="否",结果表!I108,'结果表 (1修多)'!I110)</f>
        <v>0</v>
      </c>
      <c r="E35" s="1328"/>
    </row>
    <row r="36" spans="1:5" ht="14.25">
      <c r="A36" s="1328"/>
      <c r="B36" s="3335" t="str">
        <f>B15</f>
        <v>3.房地产抵押价值</v>
      </c>
      <c r="C36" s="1350" t="str">
        <f>C28</f>
        <v>总价</v>
      </c>
      <c r="D36" s="1351">
        <f ca="1">IF('数据-取费表'!E3="否",结果表!I110,'结果表 (1修多)'!I112)</f>
        <v>1082</v>
      </c>
      <c r="E36" s="1328"/>
    </row>
    <row r="37" spans="1:5" ht="14.25">
      <c r="A37" s="1328"/>
      <c r="B37" s="3335"/>
      <c r="C37" s="1347" t="s">
        <v>1106</v>
      </c>
      <c r="D37" s="1352" t="str">
        <f ca="1">IF('数据-取费表'!B3="万元",NUMBERSTRING(INT(D36*10000),2)&amp;"元整",NUMBERSTRING(INT(D36),2)&amp;"元整")</f>
        <v>壹仟零捌拾贰万元整</v>
      </c>
      <c r="E37" s="1328"/>
    </row>
    <row r="38" spans="1:5" ht="14.25">
      <c r="A38" s="1328"/>
      <c r="B38" s="3335"/>
      <c r="C38" s="1338" t="s">
        <v>1110</v>
      </c>
      <c r="D38" s="1349">
        <f ca="1">IF('数据-取费表'!E3="否",结果表!D113,'结果表 (1修多)'!D117)</f>
        <v>27502</v>
      </c>
      <c r="E38" s="1328"/>
    </row>
    <row r="39" spans="1:5" ht="14.25">
      <c r="A39" s="1328"/>
      <c r="B39" s="3336" t="str">
        <f>B18</f>
        <v>——</v>
      </c>
      <c r="C39" s="1350" t="str">
        <f>C28</f>
        <v>总价</v>
      </c>
      <c r="D39" s="1351" t="str">
        <f>IF('数据-取费表'!E3="否",结果表!I112,'结果表 (1修多)'!I114)</f>
        <v>——</v>
      </c>
      <c r="E39" s="1328"/>
    </row>
    <row r="40" spans="1:5" ht="14.25">
      <c r="A40" s="1328"/>
      <c r="B40" s="3336"/>
      <c r="C40" s="1347" t="s">
        <v>1106</v>
      </c>
      <c r="D40" s="1352" t="e">
        <f>IF('数据-取费表'!B3="万元",NUMBERSTRING(INT(D39*10000),2)&amp;"元整",NUMBERSTRING(INT(D39),2)&amp;"元整")</f>
        <v>#VALUE!</v>
      </c>
      <c r="E40" s="1328"/>
    </row>
    <row r="41" spans="1:5" ht="14.25">
      <c r="A41" s="1328"/>
      <c r="B41" s="3336"/>
      <c r="C41" s="1338" t="s">
        <v>1110</v>
      </c>
      <c r="D41" s="1349" t="str">
        <f>IF('数据-取费表'!E3="否",结果表!D115,'结果表 (1修多)'!D119)</f>
        <v>——</v>
      </c>
      <c r="E41" s="1328"/>
    </row>
    <row r="42" spans="1:5" ht="14.25">
      <c r="A42" s="1328"/>
      <c r="B42" s="3335" t="str">
        <f>B21</f>
        <v>——</v>
      </c>
      <c r="C42" s="1350" t="str">
        <f>C28</f>
        <v>总价</v>
      </c>
      <c r="D42" s="1351" t="str">
        <f>IF('数据-取费表'!E3="否",结果表!I114,'结果表 (1修多)'!I116)</f>
        <v>——</v>
      </c>
      <c r="E42" s="1328"/>
    </row>
    <row r="43" spans="1:5" ht="14.25">
      <c r="A43" s="1328"/>
      <c r="B43" s="3337"/>
      <c r="C43" s="1347" t="s">
        <v>1106</v>
      </c>
      <c r="D43" s="1353" t="e">
        <f>IF('数据-取费表'!B3="万元",NUMBERSTRING(INT(D42*10000),2)&amp;"元整",NUMBERSTRING(INT(D42),2)&amp;"元整")</f>
        <v>#VALUE!</v>
      </c>
      <c r="E43" s="1328"/>
    </row>
    <row r="44" spans="1:5" ht="15" thickBot="1">
      <c r="A44" s="1328"/>
      <c r="B44" s="3338"/>
      <c r="C44" s="1343" t="s">
        <v>1110</v>
      </c>
      <c r="D44" s="1354" t="str">
        <f ca="1">IF('数据-取费表'!E3="否",结果表!D117,'结果表 (1修多)'!D121)</f>
        <v>——</v>
      </c>
      <c r="E44" s="1328"/>
    </row>
    <row r="45" spans="1:5" ht="14.25" thickTop="1">
      <c r="A45" s="1328"/>
      <c r="B45" s="1328" t="str">
        <f>IF('数据-取费表'!B3="元","单位：元、元/平方米（单位：人民币）","单位：万元、元/平方米（单位：人民币）")</f>
        <v>单位：万元、元/平方米（单位：人民币）</v>
      </c>
      <c r="C45" s="1328"/>
      <c r="D45" s="1328"/>
      <c r="E45" s="1328"/>
    </row>
    <row r="46" spans="1:5" ht="18.75">
      <c r="B46" s="1355"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3" customWidth="1"/>
    <col min="2" max="9" width="12.25" style="1313" customWidth="1"/>
    <col min="10" max="16384" width="9" style="1313"/>
  </cols>
  <sheetData>
    <row r="1" spans="1:9" ht="16.5" thickBot="1">
      <c r="A1" s="3353" t="str">
        <f>IF(项目基本情况!D5="房地产市场价值","估价结果一览表","结果表-2")</f>
        <v>结果表-2</v>
      </c>
      <c r="B1" s="3353"/>
      <c r="C1" s="3353"/>
      <c r="D1" s="3353"/>
      <c r="E1" s="3353"/>
      <c r="F1" s="3353"/>
      <c r="G1" s="3353"/>
      <c r="H1" s="3353"/>
      <c r="I1" s="3353"/>
    </row>
    <row r="2" spans="1:9" ht="30" customHeight="1" thickTop="1">
      <c r="A2" s="3354" t="s">
        <v>1205</v>
      </c>
      <c r="B2" s="3354" t="s">
        <v>1206</v>
      </c>
      <c r="C2" s="3354" t="s">
        <v>1207</v>
      </c>
      <c r="D2" s="3354" t="str">
        <f>IF('数据-取费表'!E3="否",结果表!D119,'结果表 (1修多)'!D123)</f>
        <v>出让国有建设用地使用权价值</v>
      </c>
      <c r="E2" s="3354"/>
      <c r="F2" s="3354" t="s">
        <v>1208</v>
      </c>
      <c r="G2" s="3354"/>
      <c r="H2" s="3354" t="s">
        <v>1209</v>
      </c>
      <c r="I2" s="3354"/>
    </row>
    <row r="3" spans="1:9" ht="15">
      <c r="A3" s="3349"/>
      <c r="B3" s="3349"/>
      <c r="C3" s="3349"/>
      <c r="D3" s="818" t="s">
        <v>1210</v>
      </c>
      <c r="E3" s="818" t="s">
        <v>1211</v>
      </c>
      <c r="F3" s="818" t="s">
        <v>1210</v>
      </c>
      <c r="G3" s="818" t="s">
        <v>1212</v>
      </c>
      <c r="H3" s="818" t="s">
        <v>1210</v>
      </c>
      <c r="I3" s="818" t="s">
        <v>1212</v>
      </c>
    </row>
    <row r="4" spans="1:9" ht="46.5" customHeight="1">
      <c r="A4" s="818" t="str">
        <f>项目基本情况!I1</f>
        <v>北京市房地产</v>
      </c>
      <c r="B4" s="818">
        <f>结果表!B121</f>
        <v>393.43</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1082</v>
      </c>
      <c r="I4" s="818">
        <f ca="1">IF('数据-取费表'!E3="否",结果表!I121,'结果表 (1修多)'!I125)</f>
        <v>27502</v>
      </c>
    </row>
    <row r="5" spans="1:9" ht="15">
      <c r="A5" s="3349" t="s">
        <v>1213</v>
      </c>
      <c r="B5" s="3349"/>
      <c r="C5" s="3349"/>
      <c r="D5" s="3347" t="str">
        <f>IF('数据-取费表'!E3="否",结果表!D122,'结果表 (1修多)'!D126)</f>
        <v>零元整</v>
      </c>
      <c r="E5" s="3347"/>
      <c r="F5" s="3347" t="str">
        <f>IF('数据-取费表'!E3="否",结果表!F122,'结果表 (1修多)'!F126)</f>
        <v>零元整</v>
      </c>
      <c r="G5" s="3347"/>
      <c r="H5" s="3347" t="str">
        <f ca="1">IF('数据-取费表'!E3="否",结果表!H122,'结果表 (1修多)'!H126)</f>
        <v>壹仟零捌拾贰万元整</v>
      </c>
      <c r="I5" s="3347"/>
    </row>
    <row r="6" spans="1:9" ht="15.75">
      <c r="A6" s="3348" t="str">
        <f>IF('数据-取费表'!E3="否",结果表!A123,'结果表 (1修多)'!A127)</f>
        <v>估价师所知悉的法定优先受偿款</v>
      </c>
      <c r="B6" s="3348"/>
      <c r="C6" s="3348"/>
      <c r="D6" s="3348">
        <f>IF('数据-取费表'!E3="否",结果表!D123,'结果表 (1修多)'!D127)</f>
        <v>0</v>
      </c>
      <c r="E6" s="3348"/>
      <c r="F6" s="3348"/>
      <c r="G6" s="3348"/>
      <c r="H6" s="3348"/>
      <c r="I6" s="3348"/>
    </row>
    <row r="7" spans="1:9" ht="15">
      <c r="A7" s="3349" t="s">
        <v>1213</v>
      </c>
      <c r="B7" s="3349"/>
      <c r="C7" s="3349"/>
      <c r="D7" s="3350">
        <f>IF('数据-取费表'!E3="否",结果表!D124,'结果表 (1修多)'!D128)</f>
        <v>0</v>
      </c>
      <c r="E7" s="3351"/>
      <c r="F7" s="3351"/>
      <c r="G7" s="3351"/>
      <c r="H7" s="3351"/>
      <c r="I7" s="3352"/>
    </row>
    <row r="8" spans="1:9" ht="15.75">
      <c r="A8" s="3348" t="str">
        <f>IF('数据-取费表'!E3="否",结果表!A125,'结果表 (1修多)'!A129)</f>
        <v>房地产抵押价值</v>
      </c>
      <c r="B8" s="3348"/>
      <c r="C8" s="3348"/>
      <c r="D8" s="3348">
        <f ca="1">IF('数据-取费表'!E3="否",结果表!D125,'结果表 (1修多)'!D129)</f>
        <v>1082</v>
      </c>
      <c r="E8" s="3348"/>
      <c r="F8" s="3348"/>
      <c r="G8" s="3348"/>
      <c r="H8" s="3348"/>
      <c r="I8" s="3348"/>
    </row>
    <row r="9" spans="1:9" ht="15">
      <c r="A9" s="3349" t="s">
        <v>1213</v>
      </c>
      <c r="B9" s="3349"/>
      <c r="C9" s="3349"/>
      <c r="D9" s="3347">
        <f ca="1">IF('数据-取费表'!E3="否",结果表!D126,'结果表 (1修多)'!D130)</f>
        <v>27502</v>
      </c>
      <c r="E9" s="3347"/>
      <c r="F9" s="3347"/>
      <c r="G9" s="3347"/>
      <c r="H9" s="3347"/>
      <c r="I9" s="3347"/>
    </row>
    <row r="10" spans="1:9" ht="15.75">
      <c r="A10" s="3348" t="str">
        <f>IF('数据-取费表'!E3="否",结果表!A127,'结果表 (1修多)'!A131)</f>
        <v/>
      </c>
      <c r="B10" s="3348"/>
      <c r="C10" s="3348"/>
      <c r="D10" s="3348">
        <f ca="1">IF('数据-取费表'!E3="否",结果表!D127,'结果表 (1修多)'!D130)</f>
        <v>27502</v>
      </c>
      <c r="E10" s="3348"/>
      <c r="F10" s="3348"/>
      <c r="G10" s="3348"/>
      <c r="H10" s="3348"/>
      <c r="I10" s="3348"/>
    </row>
    <row r="11" spans="1:9" ht="15">
      <c r="A11" s="3349" t="s">
        <v>1213</v>
      </c>
      <c r="B11" s="3349"/>
      <c r="C11" s="3349"/>
      <c r="D11" s="3347" t="str">
        <f>IF('数据-取费表'!E3="否",结果表!D128,'结果表 (1修多)'!D132)</f>
        <v>——</v>
      </c>
      <c r="E11" s="3347"/>
      <c r="F11" s="3347"/>
      <c r="G11" s="3347"/>
      <c r="H11" s="3347"/>
      <c r="I11" s="3347"/>
    </row>
    <row r="12" spans="1:9" ht="15.75">
      <c r="A12" s="3348" t="str">
        <f>IF('数据-取费表'!E3="否",结果表!A129,'结果表 (1修多)'!A133)</f>
        <v/>
      </c>
      <c r="B12" s="3348"/>
      <c r="C12" s="3348"/>
      <c r="D12" s="3348" t="str">
        <f>IF('数据-取费表'!E3="否",结果表!D129,'结果表 (1修多)'!D133)</f>
        <v>——</v>
      </c>
      <c r="E12" s="3348"/>
      <c r="F12" s="3348"/>
      <c r="G12" s="3348"/>
      <c r="H12" s="3348"/>
      <c r="I12" s="3348"/>
    </row>
    <row r="13" spans="1:9" ht="15.75" thickBot="1">
      <c r="A13" s="3355" t="s">
        <v>1213</v>
      </c>
      <c r="B13" s="3355"/>
      <c r="C13" s="3355"/>
      <c r="D13" s="3356">
        <f>IF('数据-取费表'!E3="否",结果表!D130,'结果表 (1修多)'!D134)</f>
        <v>0</v>
      </c>
      <c r="E13" s="3356"/>
      <c r="F13" s="3356"/>
      <c r="G13" s="3356"/>
      <c r="H13" s="3356"/>
      <c r="I13" s="3356"/>
    </row>
    <row r="14" spans="1:9" ht="15" thickTop="1">
      <c r="A14" s="3357" t="str">
        <f>IF('数据-取费表'!E3="否",结果表!A131,'结果表 (1修多)'!A135)</f>
        <v>单位：平方米、万元、元/平方米（币种：人民币）</v>
      </c>
      <c r="B14" s="3357"/>
      <c r="C14" s="3357"/>
      <c r="D14" s="3357"/>
      <c r="E14" s="3357"/>
      <c r="F14" s="3357"/>
      <c r="G14" s="3357"/>
      <c r="H14" s="3357"/>
      <c r="I14" s="3357"/>
    </row>
    <row r="15" spans="1:9">
      <c r="A15" s="605"/>
      <c r="B15" s="605"/>
      <c r="C15" s="605"/>
      <c r="D15" s="605"/>
      <c r="E15" s="605"/>
      <c r="F15" s="605"/>
      <c r="G15" s="605"/>
      <c r="H15" s="605"/>
      <c r="I15" s="605"/>
    </row>
    <row r="16" spans="1:9" ht="18.75">
      <c r="A16" s="1356"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3" customWidth="1"/>
    <col min="2" max="2" width="24" style="1313" customWidth="1"/>
    <col min="3" max="3" width="23.25" style="1313" customWidth="1"/>
    <col min="4" max="4" width="21" style="1313" customWidth="1"/>
    <col min="5" max="16384" width="9" style="1313"/>
  </cols>
  <sheetData>
    <row r="1" spans="1:4" ht="18.75">
      <c r="A1" s="3362" t="s">
        <v>1226</v>
      </c>
      <c r="B1" s="3362"/>
      <c r="C1" s="3362"/>
      <c r="D1" s="3362"/>
    </row>
    <row r="2" spans="1:4" ht="18">
      <c r="A2" s="3361" t="s">
        <v>1215</v>
      </c>
      <c r="B2" s="3361"/>
      <c r="C2" s="3361"/>
      <c r="D2" s="3361"/>
    </row>
    <row r="3" spans="1:4" ht="18.75">
      <c r="A3" s="1357" t="s">
        <v>1216</v>
      </c>
      <c r="B3" s="1357" t="s">
        <v>1217</v>
      </c>
      <c r="C3" s="1357" t="s">
        <v>1218</v>
      </c>
      <c r="D3" s="1357" t="s">
        <v>1219</v>
      </c>
    </row>
    <row r="4" spans="1:4" ht="56.25" customHeight="1">
      <c r="A4" s="1358">
        <f>项目基本情况!B3</f>
        <v>0</v>
      </c>
      <c r="B4" s="1359">
        <f>项目基本情况!C3</f>
        <v>0</v>
      </c>
      <c r="C4" s="1360"/>
      <c r="D4" s="1361" t="s">
        <v>1227</v>
      </c>
    </row>
    <row r="5" spans="1:4" ht="56.25" customHeight="1">
      <c r="A5" s="1358">
        <f>项目基本情况!D3</f>
        <v>0</v>
      </c>
      <c r="B5" s="1359">
        <f>项目基本情况!E3</f>
        <v>0</v>
      </c>
      <c r="C5" s="1362"/>
      <c r="D5" s="1361" t="s">
        <v>1227</v>
      </c>
    </row>
    <row r="6" spans="1:4" ht="12" customHeight="1">
      <c r="A6" s="1358"/>
      <c r="B6" s="1359"/>
      <c r="C6" s="1363"/>
      <c r="D6" s="1361"/>
    </row>
    <row r="7" spans="1:4" ht="18">
      <c r="A7" s="3361" t="s">
        <v>1220</v>
      </c>
      <c r="B7" s="3361"/>
      <c r="C7" s="3361"/>
      <c r="D7" s="3361"/>
    </row>
    <row r="8" spans="1:4" ht="18.75">
      <c r="A8" s="1357" t="s">
        <v>1216</v>
      </c>
      <c r="B8" s="1359" t="s">
        <v>1221</v>
      </c>
      <c r="C8" s="1357" t="s">
        <v>1218</v>
      </c>
      <c r="D8" s="1357" t="s">
        <v>1219</v>
      </c>
    </row>
    <row r="9" spans="1:4" ht="56.25" customHeight="1">
      <c r="A9" s="1364" t="s">
        <v>777</v>
      </c>
      <c r="B9" s="1364" t="s">
        <v>778</v>
      </c>
      <c r="C9" s="1360"/>
      <c r="D9" s="1361" t="s">
        <v>1227</v>
      </c>
    </row>
    <row r="11" spans="1:4" ht="18.75">
      <c r="A11" s="1365" t="s">
        <v>1222</v>
      </c>
    </row>
    <row r="12" spans="1:4" ht="30" customHeight="1">
      <c r="A12" s="3358" t="s">
        <v>2681</v>
      </c>
      <c r="B12" s="3360"/>
      <c r="C12" s="3360"/>
      <c r="D12" s="3360"/>
    </row>
    <row r="13" spans="1:4" ht="15.75">
      <c r="A13" s="335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0"/>
      <c r="C13" s="3360"/>
      <c r="D13" s="3360"/>
    </row>
    <row r="14" spans="1:4" ht="30" customHeight="1">
      <c r="A14" s="335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0"/>
      <c r="C14" s="3360"/>
      <c r="D14" s="3360"/>
    </row>
    <row r="15" spans="1:4" ht="15.75" customHeight="1">
      <c r="A15" s="3358" t="str">
        <f>IF(项目基本情况!D4="抵押","4.本次评估估价师所知悉的法定优先受偿款情况说明如下：","——")</f>
        <v>4.本次评估估价师所知悉的法定优先受偿款情况说明如下：</v>
      </c>
      <c r="B15" s="3360"/>
      <c r="C15" s="3360"/>
      <c r="D15" s="3360"/>
    </row>
    <row r="16" spans="1:4" ht="75" customHeight="1">
      <c r="A16" s="335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8"/>
      <c r="C16" s="3358"/>
      <c r="D16" s="3358"/>
    </row>
    <row r="17" spans="1:4" ht="63.75" customHeight="1">
      <c r="A17" s="3359" t="s">
        <v>1228</v>
      </c>
      <c r="B17" s="3359"/>
      <c r="C17" s="3359"/>
      <c r="D17" s="3359"/>
    </row>
    <row r="18" spans="1:4" ht="15.75" customHeight="1">
      <c r="A18" s="3358" t="str">
        <f>IF(项目基本情况!D4="抵押",结果表!L106,"——")</f>
        <v>本次评估不存在估价师所知悉的法定优先受偿款。</v>
      </c>
      <c r="B18" s="3358"/>
      <c r="C18" s="3358"/>
      <c r="D18" s="3358"/>
    </row>
    <row r="19" spans="1:4" ht="46.5" customHeight="1">
      <c r="A19" s="335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8"/>
      <c r="C19" s="3358"/>
      <c r="D19" s="3358"/>
    </row>
    <row r="20" spans="1:4" ht="15">
      <c r="A20" s="3359" t="s">
        <v>2682</v>
      </c>
      <c r="B20" s="3359"/>
      <c r="C20" s="3359"/>
      <c r="D20" s="3359"/>
    </row>
    <row r="21" spans="1:4">
      <c r="A21" s="1366"/>
      <c r="B21" s="980"/>
      <c r="C21" s="980"/>
      <c r="D21" s="980"/>
    </row>
    <row r="22" spans="1:4">
      <c r="A22" s="1366"/>
      <c r="B22" s="980"/>
      <c r="C22" s="980"/>
      <c r="D22" s="980"/>
    </row>
    <row r="23" spans="1:4" ht="18.75">
      <c r="A23" s="1327" t="s">
        <v>1223</v>
      </c>
    </row>
    <row r="24" spans="1:4" ht="18">
      <c r="A24" s="1327"/>
    </row>
    <row r="25" spans="1:4" ht="18.75">
      <c r="A25" s="1327" t="s">
        <v>1224</v>
      </c>
    </row>
    <row r="28" spans="1:4" ht="21" customHeight="1">
      <c r="D28" s="1367" t="s">
        <v>1225</v>
      </c>
    </row>
    <row r="29" spans="1:4" ht="21" customHeight="1">
      <c r="C29" s="1368"/>
      <c r="D29" s="13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5" customWidth="1"/>
    <col min="2" max="16384" width="14.5" style="605"/>
  </cols>
  <sheetData>
    <row r="1" spans="1:7" s="1356" customFormat="1" ht="18.75">
      <c r="A1" s="603" t="s">
        <v>1295</v>
      </c>
    </row>
    <row r="3" spans="1:7" ht="14.25">
      <c r="A3" s="1373" t="s">
        <v>1296</v>
      </c>
      <c r="B3" s="605" t="s">
        <v>1297</v>
      </c>
      <c r="G3" s="1374"/>
    </row>
    <row r="4" spans="1:7">
      <c r="G4" s="1374"/>
    </row>
    <row r="5" spans="1:7" ht="14.25">
      <c r="A5" s="1376" t="s">
        <v>1298</v>
      </c>
      <c r="B5" s="605" t="s">
        <v>1299</v>
      </c>
      <c r="G5" s="1374"/>
    </row>
    <row r="6" spans="1:7">
      <c r="G6" s="1374"/>
    </row>
    <row r="7" spans="1:7" ht="14.25">
      <c r="A7" s="1377" t="s">
        <v>1300</v>
      </c>
      <c r="B7" s="605" t="s">
        <v>1301</v>
      </c>
      <c r="G7" s="1374"/>
    </row>
    <row r="8" spans="1:7">
      <c r="G8" s="1374"/>
    </row>
    <row r="9" spans="1:7">
      <c r="A9" s="1378" t="s">
        <v>1302</v>
      </c>
      <c r="B9" s="605" t="s">
        <v>1303</v>
      </c>
    </row>
    <row r="11" spans="1:7">
      <c r="A11" s="1379" t="s">
        <v>1304</v>
      </c>
      <c r="B11" s="1380" t="s">
        <v>1305</v>
      </c>
    </row>
    <row r="13" spans="1:7">
      <c r="A13" s="1160" t="s">
        <v>1306</v>
      </c>
    </row>
    <row r="15" spans="1:7" ht="14.25">
      <c r="A15" s="3368" t="s">
        <v>1307</v>
      </c>
      <c r="B15" s="3363" t="s">
        <v>1308</v>
      </c>
      <c r="C15" s="3364"/>
    </row>
    <row r="16" spans="1:7" ht="14.25">
      <c r="A16" s="3369"/>
      <c r="B16" s="3363" t="s">
        <v>1309</v>
      </c>
      <c r="C16" s="3364"/>
    </row>
    <row r="17" spans="1:3" ht="14.25">
      <c r="A17" s="3369"/>
      <c r="B17" s="3363" t="s">
        <v>1310</v>
      </c>
      <c r="C17" s="3364"/>
    </row>
    <row r="18" spans="1:3" ht="14.25">
      <c r="A18" s="3370"/>
      <c r="B18" s="3365" t="s">
        <v>1311</v>
      </c>
      <c r="C18" s="3364"/>
    </row>
    <row r="19" spans="1:3" ht="14.25">
      <c r="A19" s="1381" t="s">
        <v>1312</v>
      </c>
      <c r="B19" s="1382"/>
      <c r="C19" s="1383"/>
    </row>
    <row r="20" spans="1:3" ht="14.25">
      <c r="A20" s="3366" t="s">
        <v>1313</v>
      </c>
      <c r="B20" s="3365" t="s">
        <v>1314</v>
      </c>
      <c r="C20" s="3364"/>
    </row>
    <row r="21" spans="1:3" ht="14.25">
      <c r="A21" s="3366"/>
      <c r="B21" s="3365" t="s">
        <v>1315</v>
      </c>
      <c r="C21" s="3364"/>
    </row>
    <row r="22" spans="1:3" ht="14.25">
      <c r="A22" s="3366"/>
      <c r="B22" s="3365" t="s">
        <v>1316</v>
      </c>
      <c r="C22" s="3364"/>
    </row>
    <row r="23" spans="1:3" ht="14.25">
      <c r="A23" s="3366"/>
      <c r="B23" s="3367" t="s">
        <v>1317</v>
      </c>
      <c r="C23" s="1384" t="s">
        <v>1318</v>
      </c>
    </row>
    <row r="24" spans="1:3" ht="14.25">
      <c r="A24" s="3366"/>
      <c r="B24" s="3367"/>
      <c r="C24" s="1384" t="s">
        <v>1319</v>
      </c>
    </row>
    <row r="25" spans="1:3" ht="14.25">
      <c r="A25" s="3366"/>
      <c r="B25" s="3367"/>
      <c r="C25" s="1384" t="s">
        <v>1320</v>
      </c>
    </row>
    <row r="26" spans="1:3" ht="14.25">
      <c r="A26" s="3366"/>
      <c r="B26" s="3367"/>
      <c r="C26" s="1384" t="s">
        <v>1321</v>
      </c>
    </row>
    <row r="27" spans="1:3" ht="14.25">
      <c r="A27" s="3366"/>
      <c r="B27" s="3367"/>
      <c r="C27" s="1384" t="s">
        <v>1322</v>
      </c>
    </row>
    <row r="28" spans="1:3" ht="14.25">
      <c r="A28" s="3366"/>
      <c r="B28" s="3367"/>
      <c r="C28" s="1384" t="s">
        <v>1323</v>
      </c>
    </row>
    <row r="29" spans="1:3" ht="14.25">
      <c r="A29" s="3366"/>
      <c r="B29" s="3367"/>
      <c r="C29" s="1384" t="s">
        <v>1324</v>
      </c>
    </row>
    <row r="30" spans="1:3" ht="14.25">
      <c r="A30" s="3366"/>
      <c r="B30" s="3367"/>
      <c r="C30" s="1384" t="s">
        <v>1325</v>
      </c>
    </row>
    <row r="31" spans="1:3" ht="14.25">
      <c r="A31" s="3366"/>
      <c r="B31" s="3367"/>
      <c r="C31" s="1384" t="s">
        <v>1326</v>
      </c>
    </row>
    <row r="32" spans="1:3">
      <c r="A32" s="1385"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44561</v>
      </c>
      <c r="C2" s="3033" t="s">
        <v>747</v>
      </c>
      <c r="D2" s="3033"/>
      <c r="E2" s="3033"/>
      <c r="F2" s="3030"/>
      <c r="G2" s="3030"/>
      <c r="H2" s="3030"/>
    </row>
    <row r="3" spans="1:8" ht="24" customHeight="1">
      <c r="A3" s="3034" t="s">
        <v>748</v>
      </c>
      <c r="B3" s="3035" t="s">
        <v>749</v>
      </c>
      <c r="C3" s="3035" t="s">
        <v>750</v>
      </c>
      <c r="D3" s="3036" t="s">
        <v>772</v>
      </c>
      <c r="E3" s="3049" t="s">
        <v>751</v>
      </c>
      <c r="F3" s="1271" t="s">
        <v>752</v>
      </c>
      <c r="G3" s="3035" t="s">
        <v>750</v>
      </c>
      <c r="H3" s="3036" t="s">
        <v>773</v>
      </c>
    </row>
    <row r="4" spans="1:8" ht="24" customHeight="1">
      <c r="A4" s="1271" t="s">
        <v>753</v>
      </c>
      <c r="B4" s="1271">
        <f ca="1">IF(C4&lt;B2,"已过期",1119970066)</f>
        <v>1119970066</v>
      </c>
      <c r="C4" s="3037">
        <v>44876</v>
      </c>
      <c r="D4" s="3048" t="str">
        <f ca="1">A4&amp;"（注册号："&amp;B4&amp;"）"</f>
        <v>梁津（注册号：1119970066）</v>
      </c>
      <c r="E4" s="3050" t="s">
        <v>753</v>
      </c>
      <c r="F4" s="1271">
        <f ca="1">IF(G4&lt;B2,"已过期",96010014)</f>
        <v>96010014</v>
      </c>
      <c r="G4" s="3038">
        <v>47118</v>
      </c>
      <c r="H4" s="3039" t="str">
        <f ca="1">E4&amp;"（注册号："&amp;F4&amp;"）"</f>
        <v>梁津（注册号：96010014）</v>
      </c>
    </row>
    <row r="5" spans="1:8" ht="24" customHeight="1">
      <c r="A5" s="1271" t="s">
        <v>754</v>
      </c>
      <c r="B5" s="1271">
        <f ca="1">IF(C5&lt;B2,"已过期",1119970111)</f>
        <v>1119970111</v>
      </c>
      <c r="C5" s="3037">
        <v>44876</v>
      </c>
      <c r="D5" s="3048" t="str">
        <f t="shared" ref="D5:D14" ca="1" si="0">A5&amp;"（注册号："&amp;B5&amp;"）"</f>
        <v>叶凌（注册号：1119970111）</v>
      </c>
      <c r="E5" s="3050" t="s">
        <v>754</v>
      </c>
      <c r="F5" s="1271">
        <f ca="1">IF(G5&lt;B2,"已过期",94010078)</f>
        <v>94010078</v>
      </c>
      <c r="G5" s="3038">
        <v>46387</v>
      </c>
      <c r="H5" s="3039" t="str">
        <f t="shared" ref="H5:H16" ca="1" si="1">E5&amp;"（注册号："&amp;F5&amp;"）"</f>
        <v>叶凌（注册号：94010078）</v>
      </c>
    </row>
    <row r="6" spans="1:8" ht="24" customHeight="1">
      <c r="A6" s="1271" t="s">
        <v>755</v>
      </c>
      <c r="B6" s="1271" t="str">
        <f ca="1">IF(C6&lt;B2,"已过期",1120050019)</f>
        <v>已过期</v>
      </c>
      <c r="C6" s="3037">
        <v>44395</v>
      </c>
      <c r="D6" s="3048" t="str">
        <f t="shared" ca="1" si="0"/>
        <v>王鹏（注册号：已过期）</v>
      </c>
      <c r="E6" s="3050" t="s">
        <v>755</v>
      </c>
      <c r="F6" s="1271">
        <f ca="1">IF(G6&lt;B2,"已过期",2002110030)</f>
        <v>2002110030</v>
      </c>
      <c r="G6" s="3038">
        <v>46387</v>
      </c>
      <c r="H6" s="3039" t="str">
        <f t="shared" ca="1" si="1"/>
        <v>王鹏（注册号：2002110030）</v>
      </c>
    </row>
    <row r="7" spans="1:8" ht="24" customHeight="1">
      <c r="A7" s="1271" t="s">
        <v>756</v>
      </c>
      <c r="B7" s="1271">
        <f ca="1">IF(C7&lt;B2,"已过期",1120000080)</f>
        <v>1120000080</v>
      </c>
      <c r="C7" s="3037">
        <v>44876</v>
      </c>
      <c r="D7" s="3048" t="str">
        <f t="shared" ca="1" si="0"/>
        <v>欧红伟（注册号：1120000080）</v>
      </c>
      <c r="E7" s="3050" t="s">
        <v>756</v>
      </c>
      <c r="F7" s="1271">
        <f ca="1">IF(G7&lt;B2,"已过期",2000110082)</f>
        <v>2000110082</v>
      </c>
      <c r="G7" s="3038">
        <v>46387</v>
      </c>
      <c r="H7" s="3039" t="str">
        <f t="shared" ca="1" si="1"/>
        <v>欧红伟（注册号：2000110082）</v>
      </c>
    </row>
    <row r="8" spans="1:8" ht="24" customHeight="1">
      <c r="A8" s="1271" t="s">
        <v>757</v>
      </c>
      <c r="B8" s="1271">
        <f ca="1">IF(C8&lt;B2,"已过期",1419970001)</f>
        <v>1419970001</v>
      </c>
      <c r="C8" s="3037">
        <v>44899</v>
      </c>
      <c r="D8" s="3048" t="str">
        <f t="shared" ca="1" si="0"/>
        <v>吴薇（注册号：1419970001）</v>
      </c>
      <c r="E8" s="3050" t="s">
        <v>757</v>
      </c>
      <c r="F8" s="1271">
        <f ca="1">IF(G8&lt;B2,"已过期",2002110125)</f>
        <v>2002110125</v>
      </c>
      <c r="G8" s="3038">
        <v>47118</v>
      </c>
      <c r="H8" s="3039" t="str">
        <f t="shared" ca="1" si="1"/>
        <v>吴薇（注册号：2002110125）</v>
      </c>
    </row>
    <row r="9" spans="1:8" ht="24" customHeight="1">
      <c r="A9" s="1271" t="s">
        <v>758</v>
      </c>
      <c r="B9" s="1271" t="str">
        <f ca="1">IF(C9&lt;B2,"已过期",1120060040)</f>
        <v>已过期</v>
      </c>
      <c r="C9" s="3040">
        <v>44554</v>
      </c>
      <c r="D9" s="3048" t="str">
        <f t="shared" ca="1" si="0"/>
        <v>陈颖（注册号：已过期）</v>
      </c>
      <c r="E9" s="3050" t="s">
        <v>758</v>
      </c>
      <c r="F9" s="1271">
        <f ca="1">IF(G9&lt;B2,"已过期",2004110096)</f>
        <v>2004110096</v>
      </c>
      <c r="G9" s="3038">
        <v>47118</v>
      </c>
      <c r="H9" s="3039" t="str">
        <f t="shared" ca="1" si="1"/>
        <v>陈颖（注册号：2004110096）</v>
      </c>
    </row>
    <row r="10" spans="1:8" ht="24" customHeight="1">
      <c r="A10" s="1271" t="s">
        <v>759</v>
      </c>
      <c r="B10" s="1271">
        <f ca="1">IF(C10&lt;B2,"已过期",1120100036)</f>
        <v>1120100036</v>
      </c>
      <c r="C10" s="3040">
        <v>44675</v>
      </c>
      <c r="D10" s="3048" t="str">
        <f t="shared" ca="1" si="0"/>
        <v>崔锴（注册号：1120100036）</v>
      </c>
      <c r="E10" s="3050" t="s">
        <v>759</v>
      </c>
      <c r="F10" s="1271">
        <f ca="1">IF(G10&lt;B2,"已过期",2010110070)</f>
        <v>2010110070</v>
      </c>
      <c r="G10" s="3038">
        <v>47907</v>
      </c>
      <c r="H10" s="3039" t="str">
        <f t="shared" ca="1" si="1"/>
        <v>崔锴（注册号：2010110070）</v>
      </c>
    </row>
    <row r="11" spans="1:8" ht="24" customHeight="1">
      <c r="A11" s="1271" t="s">
        <v>760</v>
      </c>
      <c r="B11" s="1271">
        <f ca="1">IF(C11&lt;B2,"已过期",1120070131)</f>
        <v>1120070131</v>
      </c>
      <c r="C11" s="3037">
        <v>44849</v>
      </c>
      <c r="D11" s="3048" t="str">
        <f t="shared" ca="1" si="0"/>
        <v>郑燚（注册号：1120070131）</v>
      </c>
      <c r="E11" s="3050" t="s">
        <v>760</v>
      </c>
      <c r="F11" s="1271">
        <f ca="1">IF(G11&lt;B2,"已过期",2014110011)</f>
        <v>2014110011</v>
      </c>
      <c r="G11" s="3038">
        <v>49302</v>
      </c>
      <c r="H11" s="3039" t="str">
        <f t="shared" ca="1" si="1"/>
        <v>郑燚（注册号：2014110011）</v>
      </c>
    </row>
    <row r="12" spans="1:8" ht="24" customHeight="1">
      <c r="A12" s="1271" t="s">
        <v>2657</v>
      </c>
      <c r="B12" s="1271">
        <f ca="1">IF(C12&lt;B2,"已过期",1120040230)</f>
        <v>1120040230</v>
      </c>
      <c r="C12" s="3040">
        <v>44864</v>
      </c>
      <c r="D12" s="3048" t="str">
        <f t="shared" ca="1" si="0"/>
        <v>苏海（注册号：1120040230）</v>
      </c>
      <c r="E12" s="3050" t="s">
        <v>2657</v>
      </c>
      <c r="F12" s="1271">
        <f ca="1">IF(G12&lt;B2,"已过期",98030020)</f>
        <v>98030020</v>
      </c>
      <c r="G12" s="3038">
        <v>47118</v>
      </c>
      <c r="H12" s="3039" t="str">
        <f t="shared" ca="1" si="1"/>
        <v>苏海（注册号：98030020）</v>
      </c>
    </row>
    <row r="13" spans="1:8" ht="24" customHeight="1">
      <c r="A13" s="1271" t="s">
        <v>761</v>
      </c>
      <c r="B13" s="1271" t="str">
        <f ca="1">IF(C13&lt;B2,"已过期",1120020033)</f>
        <v>已过期</v>
      </c>
      <c r="C13" s="3037">
        <v>44339</v>
      </c>
      <c r="D13" s="3048" t="str">
        <f t="shared" ca="1" si="0"/>
        <v>刘敬东（注册号：已过期）</v>
      </c>
      <c r="E13" s="3050" t="s">
        <v>761</v>
      </c>
      <c r="F13" s="1271">
        <f ca="1">IF(G13&lt;B2,"已过期",2000110137)</f>
        <v>2000110137</v>
      </c>
      <c r="G13" s="3038">
        <v>46387</v>
      </c>
      <c r="H13" s="3039" t="str">
        <f t="shared" ca="1" si="1"/>
        <v>刘敬东（注册号：2000110137）</v>
      </c>
    </row>
    <row r="14" spans="1:8" ht="24" customHeight="1">
      <c r="A14" s="1271" t="s">
        <v>2674</v>
      </c>
      <c r="B14" s="1271">
        <f ca="1">IF(C14&lt;B2,"已过期",1119980106)</f>
        <v>1119980106</v>
      </c>
      <c r="C14" s="3040">
        <v>44969</v>
      </c>
      <c r="D14" s="3048" t="str">
        <f t="shared" ca="1" si="0"/>
        <v>刘俊财（注册号：1119980106）</v>
      </c>
      <c r="E14" s="3050" t="s">
        <v>2774</v>
      </c>
      <c r="F14" s="1271">
        <f ca="1">IF(G14&lt;B2,"已过期",96010063)</f>
        <v>96010063</v>
      </c>
      <c r="G14" s="3038">
        <v>47483</v>
      </c>
      <c r="H14" s="3039" t="str">
        <f t="shared" ca="1" si="1"/>
        <v>刘俊财（注册号：96010063）</v>
      </c>
    </row>
    <row r="15" spans="1:8" ht="24" customHeight="1">
      <c r="A15" s="1271"/>
      <c r="B15" s="1271"/>
      <c r="C15" s="3040"/>
      <c r="D15" s="3048" t="str">
        <f t="shared" ref="D15" si="2">A15&amp;"（注册号："&amp;B15&amp;"）"</f>
        <v>（注册号：）</v>
      </c>
      <c r="E15" s="3050" t="s">
        <v>2778</v>
      </c>
      <c r="F15" s="1271">
        <f ca="1">IF(G15&lt;B2,"已过期",2011110090)</f>
        <v>2011110090</v>
      </c>
      <c r="G15" s="3038">
        <v>48302</v>
      </c>
      <c r="H15" s="3039" t="str">
        <f t="shared" ref="H15" ca="1" si="3">E15&amp;"（注册号："&amp;F15&amp;"）"</f>
        <v>赵雯（注册号：2011110090）</v>
      </c>
    </row>
    <row r="16" spans="1:8" s="3028" customFormat="1" ht="24" customHeight="1">
      <c r="A16" s="1271"/>
      <c r="B16" s="1271"/>
      <c r="C16" s="1271"/>
      <c r="D16" s="3048" t="str">
        <f>A16&amp;"（注册号："&amp;B16&amp;"）"</f>
        <v>（注册号：）</v>
      </c>
      <c r="E16" s="3050"/>
      <c r="F16" s="1271"/>
      <c r="G16" s="1271"/>
      <c r="H16" s="3041" t="str">
        <f t="shared" si="1"/>
        <v>（注册号：）</v>
      </c>
    </row>
    <row r="17" spans="1:8" ht="24" customHeight="1">
      <c r="A17" s="3371" t="s">
        <v>762</v>
      </c>
      <c r="B17" s="3371"/>
      <c r="C17" s="3371"/>
      <c r="D17" s="3371"/>
      <c r="E17" s="3371"/>
      <c r="F17" s="3371"/>
      <c r="G17" s="3371"/>
      <c r="H17" s="3371"/>
    </row>
    <row r="18" spans="1:8" ht="24" customHeight="1">
      <c r="A18" s="3372" t="s">
        <v>763</v>
      </c>
      <c r="B18" s="3372"/>
      <c r="C18" s="3372"/>
      <c r="D18" s="3036"/>
      <c r="E18" s="3373" t="s">
        <v>764</v>
      </c>
      <c r="F18" s="3372"/>
      <c r="G18" s="3372"/>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2775</v>
      </c>
      <c r="B20" s="3043" t="s">
        <v>2776</v>
      </c>
      <c r="C20" s="3038">
        <v>44820</v>
      </c>
      <c r="D20" s="3051"/>
      <c r="E20" s="3053" t="s">
        <v>768</v>
      </c>
      <c r="F20" s="3043" t="s">
        <v>769</v>
      </c>
      <c r="G20" s="3044">
        <v>44377</v>
      </c>
    </row>
    <row r="21" spans="1:8" s="3026" customFormat="1" ht="24" customHeight="1">
      <c r="A21" s="3043"/>
      <c r="B21" s="3043"/>
      <c r="C21" s="3045"/>
      <c r="D21" s="3052"/>
      <c r="E21" s="3053" t="s">
        <v>770</v>
      </c>
      <c r="F21" s="3046" t="s">
        <v>2673</v>
      </c>
      <c r="G21" s="3047">
        <v>44012</v>
      </c>
    </row>
    <row r="22" spans="1:8" ht="24" customHeight="1">
      <c r="C22" s="3029"/>
      <c r="D22" s="3029"/>
      <c r="E22" s="3054"/>
      <c r="F22" s="3055"/>
      <c r="G22" s="3056"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6" t="s">
        <v>1328</v>
      </c>
      <c r="B1" s="4" t="s">
        <v>1329</v>
      </c>
      <c r="C1" s="1387" t="s">
        <v>1330</v>
      </c>
      <c r="D1" s="5" t="s">
        <v>1331</v>
      </c>
      <c r="E1" s="5" t="s">
        <v>1332</v>
      </c>
      <c r="F1" s="5" t="s">
        <v>1333</v>
      </c>
      <c r="G1" s="5" t="s">
        <v>1334</v>
      </c>
      <c r="H1" s="5" t="s">
        <v>1335</v>
      </c>
      <c r="I1" s="5" t="s">
        <v>1336</v>
      </c>
      <c r="J1" s="5" t="s">
        <v>1337</v>
      </c>
      <c r="K1" s="5" t="s">
        <v>1338</v>
      </c>
      <c r="L1" s="5" t="s">
        <v>1339</v>
      </c>
      <c r="M1" s="5" t="s">
        <v>1340</v>
      </c>
      <c r="N1" s="5" t="s">
        <v>1341</v>
      </c>
      <c r="O1" s="5" t="s">
        <v>1342</v>
      </c>
      <c r="P1" s="1388" t="s">
        <v>1343</v>
      </c>
      <c r="Q1" s="1388" t="s">
        <v>1344</v>
      </c>
      <c r="R1" s="1388" t="s">
        <v>1345</v>
      </c>
      <c r="S1" s="5" t="s">
        <v>1346</v>
      </c>
      <c r="T1" s="6" t="s">
        <v>1347</v>
      </c>
      <c r="U1" s="5" t="s">
        <v>1348</v>
      </c>
      <c r="V1" s="5" t="s">
        <v>1349</v>
      </c>
      <c r="W1" s="5" t="s">
        <v>1350</v>
      </c>
      <c r="X1" s="5" t="s">
        <v>1351</v>
      </c>
      <c r="Y1" s="5" t="s">
        <v>1352</v>
      </c>
    </row>
    <row r="2" spans="1:25">
      <c r="A2" s="1389" t="s">
        <v>33</v>
      </c>
      <c r="B2" s="1389" t="s">
        <v>1353</v>
      </c>
      <c r="C2" s="1390"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89" t="s">
        <v>1366</v>
      </c>
      <c r="B3" s="1391"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89" t="s">
        <v>1379</v>
      </c>
      <c r="B4" s="1391" t="s">
        <v>1380</v>
      </c>
      <c r="C4" s="1390"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89" t="s">
        <v>1390</v>
      </c>
      <c r="B5" s="1389" t="s">
        <v>1391</v>
      </c>
      <c r="C5" s="1390"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2"/>
    </row>
    <row r="6" spans="1:25">
      <c r="A6" s="1389" t="s">
        <v>1399</v>
      </c>
      <c r="B6" s="1389"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2"/>
    </row>
    <row r="7" spans="1:25">
      <c r="A7" s="1389" t="s">
        <v>1407</v>
      </c>
      <c r="B7" s="1391" t="s">
        <v>1408</v>
      </c>
      <c r="C7" s="1390" t="s">
        <v>1409</v>
      </c>
      <c r="F7" s="7" t="s">
        <v>1410</v>
      </c>
      <c r="H7" s="7" t="s">
        <v>1411</v>
      </c>
      <c r="I7" s="7" t="s">
        <v>1412</v>
      </c>
      <c r="X7" s="1392"/>
    </row>
    <row r="8" spans="1:25">
      <c r="A8" s="1389" t="s">
        <v>1413</v>
      </c>
      <c r="B8" s="1391" t="s">
        <v>1414</v>
      </c>
      <c r="C8" s="1390" t="s">
        <v>1415</v>
      </c>
      <c r="F8" s="7" t="s">
        <v>1416</v>
      </c>
      <c r="H8" s="7" t="s">
        <v>1417</v>
      </c>
      <c r="I8" s="7" t="s">
        <v>1418</v>
      </c>
      <c r="X8" s="1392"/>
    </row>
    <row r="9" spans="1:25">
      <c r="A9" s="1389" t="s">
        <v>1419</v>
      </c>
      <c r="B9" s="1389" t="s">
        <v>1420</v>
      </c>
      <c r="C9" s="1390" t="s">
        <v>1421</v>
      </c>
      <c r="F9" s="7" t="s">
        <v>1422</v>
      </c>
      <c r="H9" s="7" t="s">
        <v>1423</v>
      </c>
    </row>
    <row r="10" spans="1:25">
      <c r="A10" s="1389" t="s">
        <v>1424</v>
      </c>
      <c r="B10" s="1389" t="s">
        <v>1425</v>
      </c>
      <c r="C10" s="1390" t="s">
        <v>1426</v>
      </c>
      <c r="F10" s="7" t="s">
        <v>13</v>
      </c>
    </row>
    <row r="11" spans="1:25">
      <c r="A11" s="1389" t="s">
        <v>1427</v>
      </c>
      <c r="B11" s="1389" t="s">
        <v>1428</v>
      </c>
      <c r="C11" s="1390" t="s">
        <v>1429</v>
      </c>
    </row>
    <row r="12" spans="1:25">
      <c r="A12" s="1389" t="s">
        <v>1430</v>
      </c>
      <c r="B12" s="1389" t="s">
        <v>1431</v>
      </c>
      <c r="C12" s="1390" t="s">
        <v>1432</v>
      </c>
    </row>
    <row r="13" spans="1:25">
      <c r="A13" s="1389" t="s">
        <v>1433</v>
      </c>
      <c r="B13" s="1389" t="s">
        <v>1434</v>
      </c>
      <c r="C13" s="1390" t="s">
        <v>1435</v>
      </c>
    </row>
    <row r="14" spans="1:25">
      <c r="A14" s="1389" t="s">
        <v>1436</v>
      </c>
      <c r="B14" s="1389" t="s">
        <v>1437</v>
      </c>
      <c r="C14" s="1390"/>
    </row>
    <row r="15" spans="1:25">
      <c r="A15" s="1389" t="s">
        <v>1438</v>
      </c>
      <c r="B15" s="1389" t="s">
        <v>1439</v>
      </c>
      <c r="C15" s="1390"/>
    </row>
    <row r="16" spans="1:25">
      <c r="A16" s="1389" t="s">
        <v>1440</v>
      </c>
      <c r="B16" s="1389" t="s">
        <v>1441</v>
      </c>
      <c r="C16" s="1390"/>
    </row>
    <row r="17" spans="1:3">
      <c r="A17" s="1389" t="s">
        <v>1442</v>
      </c>
      <c r="B17" s="1389" t="s">
        <v>1443</v>
      </c>
      <c r="C17" s="1390"/>
    </row>
    <row r="18" spans="1:3">
      <c r="A18" s="1389" t="s">
        <v>1444</v>
      </c>
      <c r="B18" s="1389" t="s">
        <v>1445</v>
      </c>
      <c r="C18" s="1390"/>
    </row>
    <row r="19" spans="1:3">
      <c r="A19" s="1389" t="s">
        <v>1446</v>
      </c>
      <c r="B19" s="1389" t="s">
        <v>1447</v>
      </c>
      <c r="C19" s="1390"/>
    </row>
    <row r="20" spans="1:3">
      <c r="A20" s="1389" t="s">
        <v>1448</v>
      </c>
      <c r="B20" s="1389" t="s">
        <v>2976</v>
      </c>
      <c r="C20" s="1390"/>
    </row>
    <row r="21" spans="1:3">
      <c r="A21" s="1389" t="s">
        <v>1449</v>
      </c>
      <c r="B21" s="1389" t="s">
        <v>740</v>
      </c>
      <c r="C21" s="1390"/>
    </row>
    <row r="22" spans="1:3">
      <c r="A22" s="1389" t="s">
        <v>1450</v>
      </c>
      <c r="B22" s="1389" t="s">
        <v>740</v>
      </c>
      <c r="C22" s="1390"/>
    </row>
    <row r="23" spans="1:3">
      <c r="A23" s="1389" t="s">
        <v>1451</v>
      </c>
      <c r="B23" s="1389" t="s">
        <v>740</v>
      </c>
      <c r="C23" s="1390"/>
    </row>
    <row r="24" spans="1:3">
      <c r="A24" s="1389" t="s">
        <v>1452</v>
      </c>
      <c r="B24" s="1389" t="s">
        <v>740</v>
      </c>
      <c r="C24" s="1390"/>
    </row>
    <row r="25" spans="1:3">
      <c r="A25" s="1389" t="s">
        <v>1453</v>
      </c>
      <c r="B25" s="1389" t="s">
        <v>740</v>
      </c>
      <c r="C25" s="1390"/>
    </row>
    <row r="26" spans="1:3">
      <c r="A26" s="1389" t="s">
        <v>1454</v>
      </c>
      <c r="B26" s="1389" t="s">
        <v>740</v>
      </c>
      <c r="C26" s="1390"/>
    </row>
    <row r="27" spans="1:3">
      <c r="A27" s="1389" t="s">
        <v>740</v>
      </c>
      <c r="B27" s="1389" t="s">
        <v>740</v>
      </c>
      <c r="C27" s="1390"/>
    </row>
    <row r="28" spans="1:3">
      <c r="A28" s="1389" t="s">
        <v>740</v>
      </c>
      <c r="B28" s="1389" t="s">
        <v>740</v>
      </c>
      <c r="C28" s="1390"/>
    </row>
    <row r="29" spans="1:3">
      <c r="A29" s="1389" t="s">
        <v>740</v>
      </c>
      <c r="B29" s="1389" t="s">
        <v>740</v>
      </c>
      <c r="C29" s="1390"/>
    </row>
    <row r="30" spans="1:3">
      <c r="A30" s="1389" t="s">
        <v>740</v>
      </c>
      <c r="B30" s="1389" t="s">
        <v>740</v>
      </c>
      <c r="C30" s="1390"/>
    </row>
    <row r="31" spans="1:3">
      <c r="A31" s="1389" t="s">
        <v>740</v>
      </c>
      <c r="B31" s="1389" t="s">
        <v>740</v>
      </c>
      <c r="C31" s="1390"/>
    </row>
    <row r="32" spans="1:3">
      <c r="A32" s="1389" t="s">
        <v>740</v>
      </c>
      <c r="B32" s="1389" t="s">
        <v>740</v>
      </c>
      <c r="C32" s="1390"/>
    </row>
    <row r="33" spans="1:3">
      <c r="A33" s="1389" t="s">
        <v>740</v>
      </c>
      <c r="B33" s="1389" t="s">
        <v>740</v>
      </c>
      <c r="C33" s="1390"/>
    </row>
    <row r="34" spans="1:3">
      <c r="A34" s="1389" t="s">
        <v>740</v>
      </c>
      <c r="B34" s="1389" t="s">
        <v>740</v>
      </c>
      <c r="C34" s="1390"/>
    </row>
    <row r="35" spans="1:3">
      <c r="A35" s="1389" t="s">
        <v>740</v>
      </c>
      <c r="B35" s="1389" t="s">
        <v>740</v>
      </c>
      <c r="C35" s="1390"/>
    </row>
    <row r="36" spans="1:3">
      <c r="A36" s="1389" t="s">
        <v>740</v>
      </c>
      <c r="B36" s="1389" t="s">
        <v>740</v>
      </c>
      <c r="C36" s="1390"/>
    </row>
    <row r="37" spans="1:3">
      <c r="A37" s="1389" t="s">
        <v>740</v>
      </c>
      <c r="B37" s="1389" t="s">
        <v>740</v>
      </c>
      <c r="C37" s="1390"/>
    </row>
    <row r="38" spans="1:3">
      <c r="A38" s="1389" t="s">
        <v>740</v>
      </c>
      <c r="B38" s="1389" t="s">
        <v>740</v>
      </c>
      <c r="C38" s="1390"/>
    </row>
    <row r="39" spans="1:3">
      <c r="A39" s="1389" t="s">
        <v>740</v>
      </c>
      <c r="B39" s="1389" t="s">
        <v>740</v>
      </c>
      <c r="C39" s="1390"/>
    </row>
    <row r="40" spans="1:3">
      <c r="A40" s="1389" t="s">
        <v>740</v>
      </c>
      <c r="B40" s="1389" t="s">
        <v>740</v>
      </c>
      <c r="C40" s="1390"/>
    </row>
    <row r="41" spans="1:3">
      <c r="A41" s="1389" t="s">
        <v>740</v>
      </c>
      <c r="B41" s="1389" t="s">
        <v>740</v>
      </c>
      <c r="C41" s="1390"/>
    </row>
    <row r="42" spans="1:3">
      <c r="A42" s="1389" t="s">
        <v>740</v>
      </c>
      <c r="B42" s="1389" t="s">
        <v>740</v>
      </c>
      <c r="C42" s="1390"/>
    </row>
    <row r="43" spans="1:3">
      <c r="A43" s="1389" t="s">
        <v>740</v>
      </c>
      <c r="B43" s="1389" t="s">
        <v>740</v>
      </c>
      <c r="C43" s="1390"/>
    </row>
    <row r="44" spans="1:3">
      <c r="A44" s="1389" t="s">
        <v>740</v>
      </c>
      <c r="B44" s="1389" t="s">
        <v>740</v>
      </c>
      <c r="C44" s="1390"/>
    </row>
    <row r="45" spans="1:3">
      <c r="A45" s="1389" t="s">
        <v>740</v>
      </c>
      <c r="B45" s="1389" t="s">
        <v>740</v>
      </c>
      <c r="C45" s="1390"/>
    </row>
    <row r="46" spans="1:3">
      <c r="A46" s="1389" t="s">
        <v>740</v>
      </c>
      <c r="B46" s="1389" t="s">
        <v>740</v>
      </c>
      <c r="C46" s="1390"/>
    </row>
    <row r="47" spans="1:3">
      <c r="A47" s="1389" t="s">
        <v>740</v>
      </c>
      <c r="B47" s="1389" t="s">
        <v>740</v>
      </c>
      <c r="C47" s="1390"/>
    </row>
    <row r="48" spans="1:3">
      <c r="A48" s="1389" t="s">
        <v>740</v>
      </c>
      <c r="B48" s="1389" t="s">
        <v>740</v>
      </c>
      <c r="C48" s="1390"/>
    </row>
    <row r="49" spans="1:4">
      <c r="A49" s="1389" t="s">
        <v>740</v>
      </c>
      <c r="B49" s="1389" t="s">
        <v>740</v>
      </c>
      <c r="C49" s="1390"/>
    </row>
    <row r="50" spans="1:4">
      <c r="A50" s="1389" t="s">
        <v>740</v>
      </c>
      <c r="B50" s="1389" t="s">
        <v>740</v>
      </c>
      <c r="C50" s="1390"/>
    </row>
    <row r="51" spans="1:4">
      <c r="A51" s="1393"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3" t="s">
        <v>1457</v>
      </c>
      <c r="B52" s="1393" t="s">
        <v>1458</v>
      </c>
      <c r="C52" s="9" t="s">
        <v>1459</v>
      </c>
      <c r="D52" s="9" t="s">
        <v>1460</v>
      </c>
    </row>
    <row r="53" spans="1:4" ht="14.25" customHeight="1">
      <c r="A53" s="3374"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本次估价的“房地产价值”是指在正常市场情况下，在价值时点2021年12月31日，估价对象规划用途为，假定未设立法定优先受偿款下的房地产市场价值。</v>
      </c>
    </row>
    <row r="54" spans="1:4">
      <c r="A54" s="3374"/>
      <c r="B54" s="9" t="s">
        <v>1463</v>
      </c>
      <c r="C54" s="9" t="s">
        <v>1464</v>
      </c>
    </row>
    <row r="55" spans="1:4">
      <c r="A55" s="3374"/>
      <c r="B55" s="9" t="s">
        <v>1465</v>
      </c>
      <c r="C55" s="9" t="s">
        <v>1466</v>
      </c>
    </row>
    <row r="56" spans="1:4">
      <c r="A56" s="3374"/>
      <c r="B56" s="9" t="s">
        <v>1467</v>
      </c>
      <c r="C56" s="9" t="s">
        <v>1468</v>
      </c>
    </row>
    <row r="57" spans="1:4">
      <c r="A57" s="3374"/>
      <c r="B57" s="9" t="s">
        <v>1469</v>
      </c>
      <c r="C57" s="9" t="s">
        <v>1470</v>
      </c>
    </row>
    <row r="58" spans="1:4">
      <c r="A58" s="1394"/>
      <c r="B58" s="1392"/>
    </row>
    <row r="59" spans="1:4">
      <c r="A59" s="1394"/>
      <c r="B59" s="13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比较法-工业</vt:lpstr>
      <vt:lpstr>比较法-办公</vt:lpstr>
      <vt:lpstr>收益法</vt:lpstr>
      <vt:lpstr>收益法-酒店模型</vt:lpstr>
      <vt:lpstr>典型户型修正</vt:lpstr>
      <vt:lpstr>比较法-住宅</vt:lpstr>
      <vt:lpstr>比较法-商业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2021-12-31T03:18:31Z</dcterms:modified>
</cp:coreProperties>
</file>