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8" windowHeight="116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62" l="1"/>
  <c r="AC28" i="31"/>
  <c r="AC27" i="31"/>
  <c r="K20" i="57"/>
  <c r="C12" i="4" l="1"/>
  <c r="C30" i="37" l="1"/>
  <c r="J53" i="15" l="1"/>
  <c r="H20" i="1"/>
  <c r="E20" i="1" l="1"/>
  <c r="C37" i="34" s="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I37" i="34" l="1"/>
  <c r="G37" i="34"/>
  <c r="E37" i="34"/>
  <c r="E11" i="63"/>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E32" i="63"/>
  <c r="E29" i="63"/>
  <c r="C40" i="63"/>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F20" i="59" s="1"/>
  <c r="P20" i="59"/>
  <c r="O20" i="59"/>
  <c r="N20" i="59"/>
  <c r="Q21" i="59"/>
  <c r="P21" i="59"/>
  <c r="O21" i="59"/>
  <c r="N21" i="59"/>
  <c r="D21" i="59"/>
  <c r="E20" i="59"/>
  <c r="E19" i="59"/>
  <c r="E18" i="59" s="1"/>
  <c r="E17" i="59" s="1"/>
  <c r="E16" i="59" s="1"/>
  <c r="E15" i="59" s="1"/>
  <c r="E14" i="59" s="1"/>
  <c r="E13" i="59" s="1"/>
  <c r="E12" i="59" s="1"/>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Y22" i="59" s="1"/>
  <c r="Z22" i="59" s="1"/>
  <c r="P23" i="59"/>
  <c r="Q23" i="59"/>
  <c r="AB23" i="59" s="1"/>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S64" i="59" s="1"/>
  <c r="F63" i="59"/>
  <c r="F62" i="59" s="1"/>
  <c r="Q62" i="59" s="1"/>
  <c r="B63" i="59"/>
  <c r="B62"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AA32" i="59" s="1"/>
  <c r="O32" i="59"/>
  <c r="N32" i="59"/>
  <c r="X32" i="59" s="1"/>
  <c r="Q31" i="59"/>
  <c r="P31" i="59"/>
  <c r="AA31" i="59" s="1"/>
  <c r="O31" i="59"/>
  <c r="N31" i="59"/>
  <c r="X31" i="59" s="1"/>
  <c r="Q30" i="59"/>
  <c r="P30" i="59"/>
  <c r="AA30" i="59" s="1"/>
  <c r="O30" i="59"/>
  <c r="N30" i="59"/>
  <c r="X30" i="59" s="1"/>
  <c r="Q29" i="59"/>
  <c r="P29" i="59"/>
  <c r="AA29" i="59" s="1"/>
  <c r="O29" i="59"/>
  <c r="Y29" i="59" s="1"/>
  <c r="Z29" i="59" s="1"/>
  <c r="N29" i="59"/>
  <c r="D29" i="59"/>
  <c r="Q28" i="59"/>
  <c r="P28" i="59"/>
  <c r="AA28" i="59" s="1"/>
  <c r="O28" i="59"/>
  <c r="N28" i="59"/>
  <c r="Q27" i="59"/>
  <c r="P27" i="59"/>
  <c r="AA27" i="59" s="1"/>
  <c r="O27" i="59"/>
  <c r="N27" i="59"/>
  <c r="Q26" i="59"/>
  <c r="P26" i="59"/>
  <c r="AA26" i="59" s="1"/>
  <c r="O26" i="59"/>
  <c r="N26" i="59"/>
  <c r="Q25" i="59"/>
  <c r="P25" i="59"/>
  <c r="AA25" i="59" s="1"/>
  <c r="O25" i="59"/>
  <c r="Y25" i="59" s="1"/>
  <c r="Z25" i="59" s="1"/>
  <c r="N25" i="59"/>
  <c r="D25" i="59"/>
  <c r="O24" i="59"/>
  <c r="N24" i="59"/>
  <c r="X23" i="59" s="1"/>
  <c r="C24" i="59"/>
  <c r="T24" i="59" s="1"/>
  <c r="Y21" i="59"/>
  <c r="Z21" i="59" s="1"/>
  <c r="Y24" i="59"/>
  <c r="Z24" i="59" s="1"/>
  <c r="B24" i="59"/>
  <c r="B23" i="59" s="1"/>
  <c r="B22" i="59" s="1"/>
  <c r="X22" i="59"/>
  <c r="D38" i="59"/>
  <c r="C43" i="59"/>
  <c r="D43" i="59"/>
  <c r="D42" i="59"/>
  <c r="C47" i="59"/>
  <c r="C48" i="59" s="1"/>
  <c r="D46" i="59"/>
  <c r="P24" i="59"/>
  <c r="AA22" i="59" s="1"/>
  <c r="Q61" i="59"/>
  <c r="U68" i="59"/>
  <c r="E67" i="59"/>
  <c r="E66" i="59"/>
  <c r="Q24" i="59"/>
  <c r="C51" i="59"/>
  <c r="D51" i="59" s="1"/>
  <c r="D50" i="59"/>
  <c r="C59" i="59"/>
  <c r="D59" i="59" s="1"/>
  <c r="D58" i="59"/>
  <c r="N63" i="59"/>
  <c r="Q63" i="59"/>
  <c r="T64" i="59"/>
  <c r="O64" i="59"/>
  <c r="D64" i="59"/>
  <c r="C63" i="59"/>
  <c r="C62" i="59" s="1"/>
  <c r="D68" i="59"/>
  <c r="Q64" i="59"/>
  <c r="C71" i="59"/>
  <c r="E71" i="59"/>
  <c r="E70" i="59" s="1"/>
  <c r="D72" i="59"/>
  <c r="C75" i="59"/>
  <c r="D75" i="59" s="1"/>
  <c r="E75" i="59"/>
  <c r="E74" i="59" s="1"/>
  <c r="D76" i="59"/>
  <c r="C79" i="59"/>
  <c r="C83" i="59"/>
  <c r="D83" i="59" s="1"/>
  <c r="F24" i="59"/>
  <c r="AB21" i="59"/>
  <c r="E24" i="59"/>
  <c r="E23" i="59" s="1"/>
  <c r="E22" i="59" s="1"/>
  <c r="AA3" i="59"/>
  <c r="D79" i="59"/>
  <c r="C78" i="59"/>
  <c r="D78" i="59"/>
  <c r="D71" i="59"/>
  <c r="C70" i="59"/>
  <c r="D70" i="59" s="1"/>
  <c r="C82" i="59"/>
  <c r="D82" i="59" s="1"/>
  <c r="C74" i="59"/>
  <c r="D74" i="59" s="1"/>
  <c r="O63" i="59"/>
  <c r="C52" i="59"/>
  <c r="D52" i="59" s="1"/>
  <c r="F23" i="59"/>
  <c r="F22" i="59" s="1"/>
  <c r="V24"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S25" i="40"/>
  <c r="S18" i="36"/>
  <c r="W18" i="35"/>
  <c r="U18" i="35"/>
  <c r="S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F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J34" i="35" s="1"/>
  <c r="AC34" i="35" s="1"/>
  <c r="B77" i="35"/>
  <c r="J25" i="35" s="1"/>
  <c r="W25" i="35" s="1"/>
  <c r="B75" i="35"/>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AA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c r="F85" i="21" s="1"/>
  <c r="G85" i="21" s="1"/>
  <c r="D81" i="21"/>
  <c r="E81" i="21"/>
  <c r="F81" i="21" s="1"/>
  <c r="G81" i="21" s="1"/>
  <c r="D77" i="21"/>
  <c r="E77" i="21" s="1"/>
  <c r="F77" i="21" s="1"/>
  <c r="G77" i="21" s="1"/>
  <c r="H15" i="21"/>
  <c r="AB15" i="21" s="1"/>
  <c r="B130" i="21"/>
  <c r="B128" i="21"/>
  <c r="F45" i="21" s="1"/>
  <c r="AA45" i="21" s="1"/>
  <c r="B126" i="21"/>
  <c r="B98" i="21"/>
  <c r="J31" i="21" s="1"/>
  <c r="W31" i="21" s="1"/>
  <c r="B96" i="21"/>
  <c r="B94" i="21"/>
  <c r="B92" i="21"/>
  <c r="B90" i="21"/>
  <c r="B74" i="21"/>
  <c r="B72" i="21"/>
  <c r="J13" i="21" s="1"/>
  <c r="W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J44" i="39"/>
  <c r="W44" i="39" s="1"/>
  <c r="F36" i="39"/>
  <c r="S36" i="39" s="1"/>
  <c r="H36" i="39"/>
  <c r="AB36" i="39" s="1"/>
  <c r="J36" i="39"/>
  <c r="AC36" i="39" s="1"/>
  <c r="S8" i="39"/>
  <c r="U38" i="39"/>
  <c r="H32" i="37"/>
  <c r="AB32" i="37" s="1"/>
  <c r="F39" i="37"/>
  <c r="S39" i="37" s="1"/>
  <c r="U14" i="37"/>
  <c r="W30" i="37"/>
  <c r="F29" i="36"/>
  <c r="AA29" i="36" s="1"/>
  <c r="F16" i="36"/>
  <c r="S16" i="36" s="1"/>
  <c r="U22" i="36"/>
  <c r="AA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H11" i="40"/>
  <c r="AB11" i="40" s="1"/>
  <c r="W8" i="40"/>
  <c r="S34" i="40"/>
  <c r="S39" i="40"/>
  <c r="W39" i="40"/>
  <c r="F42" i="39"/>
  <c r="AA42" i="39" s="1"/>
  <c r="F41" i="39"/>
  <c r="AA41" i="39" s="1"/>
  <c r="H40" i="39"/>
  <c r="AB40" i="39" s="1"/>
  <c r="H39" i="39"/>
  <c r="S38" i="39"/>
  <c r="H34" i="39"/>
  <c r="AB34" i="39" s="1"/>
  <c r="E109" i="39"/>
  <c r="F109" i="39" s="1"/>
  <c r="G109" i="39" s="1"/>
  <c r="H31" i="39"/>
  <c r="AB31" i="39" s="1"/>
  <c r="F31" i="39"/>
  <c r="AA31" i="39" s="1"/>
  <c r="H19" i="39"/>
  <c r="F19" i="39"/>
  <c r="S19" i="39" s="1"/>
  <c r="H17" i="39"/>
  <c r="U17" i="39" s="1"/>
  <c r="F17" i="39"/>
  <c r="AA17" i="39" s="1"/>
  <c r="J23" i="40"/>
  <c r="AC23" i="40" s="1"/>
  <c r="H42" i="39"/>
  <c r="AB42" i="39" s="1"/>
  <c r="J34" i="39"/>
  <c r="AC34" i="39" s="1"/>
  <c r="H109" i="39"/>
  <c r="I109" i="39" s="1"/>
  <c r="J109" i="39" s="1"/>
  <c r="K109" i="39" s="1"/>
  <c r="L109" i="39" s="1"/>
  <c r="M109" i="39" s="1"/>
  <c r="J31" i="39"/>
  <c r="H29" i="39"/>
  <c r="U29" i="39"/>
  <c r="J19" i="39"/>
  <c r="AC19" i="39"/>
  <c r="J17" i="39"/>
  <c r="W17" i="39"/>
  <c r="J29" i="39"/>
  <c r="AC29" i="39"/>
  <c r="F29" i="39"/>
  <c r="AA29" i="39"/>
  <c r="F11" i="21"/>
  <c r="S11" i="21"/>
  <c r="H11" i="39"/>
  <c r="AB11"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s="1"/>
  <c r="J11" i="40"/>
  <c r="W11" i="40" s="1"/>
  <c r="AA12" i="33"/>
  <c r="F37" i="39"/>
  <c r="S37" i="39" s="1"/>
  <c r="J34" i="36"/>
  <c r="W34" i="36" s="1"/>
  <c r="U30" i="36"/>
  <c r="F22" i="35"/>
  <c r="AA22" i="35" s="1"/>
  <c r="H10" i="35"/>
  <c r="U10" i="35" s="1"/>
  <c r="AB29" i="36"/>
  <c r="E85" i="36"/>
  <c r="F85" i="36" s="1"/>
  <c r="G85" i="36" s="1"/>
  <c r="H85" i="36" s="1"/>
  <c r="I85" i="36" s="1"/>
  <c r="J85" i="36" s="1"/>
  <c r="K85" i="36" s="1"/>
  <c r="L85" i="36" s="1"/>
  <c r="M85" i="36" s="1"/>
  <c r="J29" i="36"/>
  <c r="AC29" i="36"/>
  <c r="AA12" i="36"/>
  <c r="F34" i="36"/>
  <c r="AA34" i="36"/>
  <c r="H20" i="36"/>
  <c r="J20" i="36"/>
  <c r="W20" i="36" s="1"/>
  <c r="W9" i="35"/>
  <c r="F14" i="35"/>
  <c r="F23" i="35"/>
  <c r="AA23" i="35" s="1"/>
  <c r="J32" i="35"/>
  <c r="J16" i="35"/>
  <c r="W16" i="35" s="1"/>
  <c r="H14" i="35"/>
  <c r="AB14" i="35" s="1"/>
  <c r="H33" i="35"/>
  <c r="AB33" i="35" s="1"/>
  <c r="S8" i="35"/>
  <c r="W8" i="35"/>
  <c r="J20" i="35"/>
  <c r="H20" i="35"/>
  <c r="U20" i="35" s="1"/>
  <c r="F20" i="35"/>
  <c r="J34" i="37"/>
  <c r="W34" i="37" s="1"/>
  <c r="AA39" i="37"/>
  <c r="J43" i="34"/>
  <c r="AC43" i="34" s="1"/>
  <c r="H43" i="34"/>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H25" i="33"/>
  <c r="AB25" i="33" s="1"/>
  <c r="J23" i="33"/>
  <c r="F23" i="33"/>
  <c r="AA23" i="33" s="1"/>
  <c r="H23" i="33"/>
  <c r="AB23" i="33" s="1"/>
  <c r="F19" i="33"/>
  <c r="S19" i="33"/>
  <c r="J19" i="33"/>
  <c r="W19" i="33"/>
  <c r="J17" i="33"/>
  <c r="AC17" i="33"/>
  <c r="H17" i="33"/>
  <c r="AB17" i="33"/>
  <c r="J15" i="33"/>
  <c r="AC15" i="33"/>
  <c r="F11" i="33"/>
  <c r="AA11" i="33"/>
  <c r="H10" i="33"/>
  <c r="S26" i="33"/>
  <c r="U40" i="33"/>
  <c r="U8" i="33"/>
  <c r="F37" i="40"/>
  <c r="AA37" i="40" s="1"/>
  <c r="F36" i="40"/>
  <c r="J27" i="40"/>
  <c r="F27" i="40"/>
  <c r="F23" i="40"/>
  <c r="AA23" i="40" s="1"/>
  <c r="AC11" i="40"/>
  <c r="AB30" i="36"/>
  <c r="AC34" i="36"/>
  <c r="F29" i="35"/>
  <c r="S29" i="35" s="1"/>
  <c r="U34" i="37"/>
  <c r="AB42" i="34"/>
  <c r="H38" i="34"/>
  <c r="AB38" i="34" s="1"/>
  <c r="H37" i="33"/>
  <c r="AB37" i="33" s="1"/>
  <c r="AA37" i="33"/>
  <c r="H36" i="33"/>
  <c r="U36" i="33" s="1"/>
  <c r="S25" i="33"/>
  <c r="F17" i="33"/>
  <c r="AA17" i="33"/>
  <c r="H15" i="33"/>
  <c r="AB15" i="33" s="1"/>
  <c r="AB11" i="33"/>
  <c r="AC42" i="34"/>
  <c r="W42" i="34"/>
  <c r="AA42" i="34"/>
  <c r="S42" i="34"/>
  <c r="W38" i="34"/>
  <c r="J37" i="33"/>
  <c r="AC37" i="33"/>
  <c r="J36" i="33"/>
  <c r="AC36" i="33"/>
  <c r="J11" i="33"/>
  <c r="AC11" i="33"/>
  <c r="J42" i="21"/>
  <c r="AC42" i="21" s="1"/>
  <c r="H42" i="21"/>
  <c r="J10" i="35"/>
  <c r="AC10" i="35" s="1"/>
  <c r="J14" i="21"/>
  <c r="F14" i="21"/>
  <c r="S14" i="21" s="1"/>
  <c r="H14" i="21"/>
  <c r="AB14" i="21" s="1"/>
  <c r="H28" i="21"/>
  <c r="AB28" i="21" s="1"/>
  <c r="F28" i="21"/>
  <c r="AA28" i="21" s="1"/>
  <c r="J28" i="21"/>
  <c r="W28" i="21" s="1"/>
  <c r="H30" i="21"/>
  <c r="AB30" i="21" s="1"/>
  <c r="F30" i="21"/>
  <c r="S30" i="21" s="1"/>
  <c r="J30" i="21"/>
  <c r="J44" i="21"/>
  <c r="AC44" i="21" s="1"/>
  <c r="H44" i="21"/>
  <c r="F44" i="21"/>
  <c r="AA44" i="21" s="1"/>
  <c r="H46" i="2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F25" i="35"/>
  <c r="S25" i="35" s="1"/>
  <c r="J35" i="35"/>
  <c r="AC35" i="35" s="1"/>
  <c r="H35" i="35"/>
  <c r="J25" i="36"/>
  <c r="AC25" i="36" s="1"/>
  <c r="F25" i="36"/>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U14" i="21"/>
  <c r="S46" i="33"/>
  <c r="AC13" i="36"/>
  <c r="AC11" i="36"/>
  <c r="U32" i="36"/>
  <c r="AB45" i="33"/>
  <c r="U31" i="33"/>
  <c r="AC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H23" i="37"/>
  <c r="AB23" i="37" s="1"/>
  <c r="J32" i="37"/>
  <c r="F36" i="37"/>
  <c r="AA36" i="37" s="1"/>
  <c r="F37" i="37"/>
  <c r="AA37" i="37" s="1"/>
  <c r="F31" i="40"/>
  <c r="AA31" i="40" s="1"/>
  <c r="H31" i="40"/>
  <c r="U31" i="40" s="1"/>
  <c r="F32" i="40"/>
  <c r="S32" i="40" s="1"/>
  <c r="H32" i="40"/>
  <c r="U32" i="40" s="1"/>
  <c r="J36" i="40"/>
  <c r="W36" i="40" s="1"/>
  <c r="AB32" i="40"/>
  <c r="H42" i="33"/>
  <c r="U42" i="33" s="1"/>
  <c r="J23" i="37"/>
  <c r="S30" i="31"/>
  <c r="U11" i="40"/>
  <c r="AC33" i="36"/>
  <c r="AB20" i="35"/>
  <c r="AA11" i="35"/>
  <c r="AC12" i="35"/>
  <c r="S28" i="37"/>
  <c r="U39" i="37"/>
  <c r="S25" i="37"/>
  <c r="W47" i="34"/>
  <c r="W14" i="33"/>
  <c r="AA13" i="33"/>
  <c r="AC31" i="33"/>
  <c r="AA30" i="33"/>
  <c r="S11" i="33"/>
  <c r="AC33" i="21"/>
  <c r="AB38" i="21"/>
  <c r="W10" i="36"/>
  <c r="W38" i="37"/>
  <c r="H37" i="21"/>
  <c r="U37" i="21" s="1"/>
  <c r="J37" i="21"/>
  <c r="H19" i="34"/>
  <c r="U19" i="34" s="1"/>
  <c r="F36" i="35"/>
  <c r="AA36" i="35" s="1"/>
  <c r="J9" i="37"/>
  <c r="W9" i="37" s="1"/>
  <c r="H9" i="37"/>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J25" i="39"/>
  <c r="F25" i="39"/>
  <c r="S25" i="39" s="1"/>
  <c r="F15" i="39"/>
  <c r="H15" i="39"/>
  <c r="U15" i="39" s="1"/>
  <c r="J15" i="39"/>
  <c r="W15" i="39" s="1"/>
  <c r="H41" i="39"/>
  <c r="F11" i="39"/>
  <c r="AA11" i="39" s="1"/>
  <c r="H21" i="39"/>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G22" i="43"/>
  <c r="H14" i="44"/>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AC35" i="34" s="1"/>
  <c r="S28" i="34"/>
  <c r="J33" i="34"/>
  <c r="W33" i="34" s="1"/>
  <c r="J37" i="34"/>
  <c r="W37" i="34" s="1"/>
  <c r="S23" i="34"/>
  <c r="AB33" i="34"/>
  <c r="J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5" i="43" s="1"/>
  <c r="N101" i="43"/>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A16" i="35"/>
  <c r="S14" i="39"/>
  <c r="AB29" i="35"/>
  <c r="AA35" i="39"/>
  <c r="U36" i="37"/>
  <c r="AB46" i="34"/>
  <c r="S14" i="34"/>
  <c r="AA14" i="34"/>
  <c r="W44" i="21"/>
  <c r="U38" i="34"/>
  <c r="F40" i="34"/>
  <c r="AA40" i="34" s="1"/>
  <c r="G118" i="34"/>
  <c r="U20" i="36"/>
  <c r="AB20" i="36"/>
  <c r="AA16" i="36"/>
  <c r="AC44" i="39"/>
  <c r="H13" i="21"/>
  <c r="F13" i="21"/>
  <c r="AA13" i="21" s="1"/>
  <c r="J45" i="21"/>
  <c r="AC45" i="21" s="1"/>
  <c r="S42" i="21"/>
  <c r="C23" i="40"/>
  <c r="AC8" i="34"/>
  <c r="W12" i="34"/>
  <c r="AC12" i="34"/>
  <c r="J9" i="34"/>
  <c r="F9" i="34"/>
  <c r="AA19" i="34"/>
  <c r="S19" i="34"/>
  <c r="J12" i="36"/>
  <c r="H12" i="36"/>
  <c r="AB12" i="36" s="1"/>
  <c r="AA9" i="39"/>
  <c r="S9" i="39"/>
  <c r="AB12" i="39"/>
  <c r="U12" i="39"/>
  <c r="J12" i="39"/>
  <c r="W12" i="39" s="1"/>
  <c r="F12" i="39"/>
  <c r="S12" i="39" s="1"/>
  <c r="F15" i="21"/>
  <c r="S15" i="21" s="1"/>
  <c r="C106" i="9"/>
  <c r="H102" i="9" s="1"/>
  <c r="AA30" i="21"/>
  <c r="J36" i="34"/>
  <c r="W36" i="34" s="1"/>
  <c r="J19" i="40"/>
  <c r="AC19" i="40" s="1"/>
  <c r="W9" i="39"/>
  <c r="U14" i="39"/>
  <c r="H32" i="39"/>
  <c r="U32" i="39" s="1"/>
  <c r="F21" i="39"/>
  <c r="F31" i="37"/>
  <c r="AA31" i="37" s="1"/>
  <c r="U25" i="36"/>
  <c r="S44" i="21"/>
  <c r="AC36" i="40"/>
  <c r="F17" i="37"/>
  <c r="AA17" i="37" s="1"/>
  <c r="AA29" i="33"/>
  <c r="AB28" i="36"/>
  <c r="AB13" i="40"/>
  <c r="U33" i="40"/>
  <c r="S12" i="40"/>
  <c r="AB13" i="37"/>
  <c r="U44" i="33"/>
  <c r="U11" i="36"/>
  <c r="AB11" i="35"/>
  <c r="U32" i="34"/>
  <c r="AA30" i="34"/>
  <c r="J14" i="36"/>
  <c r="S15" i="34"/>
  <c r="J40" i="34"/>
  <c r="AC40" i="34" s="1"/>
  <c r="S37" i="40"/>
  <c r="H19" i="33"/>
  <c r="AB19" i="33"/>
  <c r="U23" i="33"/>
  <c r="AA41" i="33"/>
  <c r="J23" i="34"/>
  <c r="W23" i="34"/>
  <c r="AC30" i="40"/>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H28" i="34"/>
  <c r="U28" i="34" s="1"/>
  <c r="E116" i="34"/>
  <c r="F116" i="34" s="1"/>
  <c r="G116" i="34" s="1"/>
  <c r="H116" i="34" s="1"/>
  <c r="I116" i="34" s="1"/>
  <c r="J116" i="34" s="1"/>
  <c r="K116" i="34" s="1"/>
  <c r="L116" i="34" s="1"/>
  <c r="M116" i="34" s="1"/>
  <c r="J39" i="34"/>
  <c r="J27" i="36"/>
  <c r="W27" i="36" s="1"/>
  <c r="F37" i="34"/>
  <c r="AA37" i="34" s="1"/>
  <c r="H37" i="34"/>
  <c r="U37" i="34" s="1"/>
  <c r="AA32" i="37"/>
  <c r="U12" i="40"/>
  <c r="AC14" i="39"/>
  <c r="AC46" i="34"/>
  <c r="AA32" i="34"/>
  <c r="S31" i="33"/>
  <c r="W28" i="33"/>
  <c r="W34" i="33"/>
  <c r="AC34" i="33"/>
  <c r="AA14" i="35"/>
  <c r="S14" i="35"/>
  <c r="W11" i="21"/>
  <c r="S45" i="39"/>
  <c r="AA45" i="39"/>
  <c r="H27" i="21"/>
  <c r="AB27" i="21" s="1"/>
  <c r="J27" i="21"/>
  <c r="W27" i="21" s="1"/>
  <c r="F27" i="21"/>
  <c r="AA27" i="21" s="1"/>
  <c r="J29" i="21"/>
  <c r="H29" i="21"/>
  <c r="F29" i="21"/>
  <c r="AA29" i="21" s="1"/>
  <c r="H31" i="21"/>
  <c r="U31" i="21" s="1"/>
  <c r="H39" i="21"/>
  <c r="U39" i="21"/>
  <c r="F117" i="21"/>
  <c r="G117" i="21"/>
  <c r="AA9" i="21"/>
  <c r="AA15" i="33"/>
  <c r="S15" i="33"/>
  <c r="E117" i="33"/>
  <c r="F117" i="33" s="1"/>
  <c r="G117" i="33" s="1"/>
  <c r="J39" i="33"/>
  <c r="AC39" i="33"/>
  <c r="E125" i="33"/>
  <c r="H43" i="33"/>
  <c r="U43" i="33" s="1"/>
  <c r="E91" i="33"/>
  <c r="F91" i="33" s="1"/>
  <c r="G91" i="33" s="1"/>
  <c r="H91" i="33" s="1"/>
  <c r="I91" i="33" s="1"/>
  <c r="J91" i="33" s="1"/>
  <c r="K91" i="33" s="1"/>
  <c r="L91" i="33" s="1"/>
  <c r="M91" i="33" s="1"/>
  <c r="F27" i="33"/>
  <c r="H41" i="33"/>
  <c r="U41" i="33" s="1"/>
  <c r="S12" i="34"/>
  <c r="AA11" i="34"/>
  <c r="S11" i="34"/>
  <c r="F80" i="34"/>
  <c r="G80" i="34" s="1"/>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J29" i="37"/>
  <c r="W29" i="37" s="1"/>
  <c r="F29" i="37"/>
  <c r="S29" i="37" s="1"/>
  <c r="H31" i="37"/>
  <c r="AB31" i="37" s="1"/>
  <c r="J36" i="37"/>
  <c r="W36" i="37" s="1"/>
  <c r="J40" i="37"/>
  <c r="W40" i="37"/>
  <c r="F40" i="37"/>
  <c r="AA40" i="37"/>
  <c r="U8" i="39"/>
  <c r="AB8" i="39"/>
  <c r="J29" i="35"/>
  <c r="AC29" i="35" s="1"/>
  <c r="AC30" i="36"/>
  <c r="W30" i="36"/>
  <c r="H35" i="39"/>
  <c r="U35" i="39" s="1"/>
  <c r="J35" i="39"/>
  <c r="AA19" i="39"/>
  <c r="H16" i="36"/>
  <c r="U16" i="36" s="1"/>
  <c r="U32" i="37"/>
  <c r="E101" i="21"/>
  <c r="F101" i="21" s="1"/>
  <c r="G101" i="21" s="1"/>
  <c r="H101" i="21" s="1"/>
  <c r="I101" i="21" s="1"/>
  <c r="J101" i="21" s="1"/>
  <c r="K101" i="21" s="1"/>
  <c r="L101" i="21" s="1"/>
  <c r="M101" i="21" s="1"/>
  <c r="F32" i="21"/>
  <c r="S32" i="21" s="1"/>
  <c r="J32" i="21"/>
  <c r="W32" i="21" s="1"/>
  <c r="H32" i="21"/>
  <c r="F40" i="21"/>
  <c r="H40" i="21"/>
  <c r="AB40" i="21" s="1"/>
  <c r="J40" i="21"/>
  <c r="AC40" i="21" s="1"/>
  <c r="B44" i="47"/>
  <c r="C21" i="40"/>
  <c r="AC33" i="33"/>
  <c r="W33" i="33"/>
  <c r="S34" i="33"/>
  <c r="AA38" i="33"/>
  <c r="S38" i="33"/>
  <c r="W38" i="33"/>
  <c r="J9" i="33"/>
  <c r="AC9" i="33" s="1"/>
  <c r="F9" i="33"/>
  <c r="AA10" i="34"/>
  <c r="S10" i="34"/>
  <c r="F25" i="34"/>
  <c r="S25" i="34" s="1"/>
  <c r="E126" i="34"/>
  <c r="F126" i="34" s="1"/>
  <c r="G126" i="34" s="1"/>
  <c r="H44" i="34"/>
  <c r="U44" i="34"/>
  <c r="W9" i="36"/>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J40" i="40"/>
  <c r="AC40" i="40" s="1"/>
  <c r="H40" i="40"/>
  <c r="AB40" i="40" s="1"/>
  <c r="F40" i="40"/>
  <c r="AA40" i="40" s="1"/>
  <c r="N6" i="43"/>
  <c r="M1" i="43"/>
  <c r="F101" i="9"/>
  <c r="F33" i="9"/>
  <c r="C25" i="57"/>
  <c r="F59" i="43"/>
  <c r="H63" i="43" s="1"/>
  <c r="G15" i="47"/>
  <c r="U15" i="37"/>
  <c r="AB24" i="36"/>
  <c r="H25" i="34"/>
  <c r="U25" i="34" s="1"/>
  <c r="AB35" i="39"/>
  <c r="AC40" i="37"/>
  <c r="S27" i="37"/>
  <c r="AA34" i="35"/>
  <c r="AB24" i="35"/>
  <c r="J17" i="34"/>
  <c r="AC17" i="34" s="1"/>
  <c r="F17" i="34"/>
  <c r="AA17" i="34" s="1"/>
  <c r="H27" i="33"/>
  <c r="AB27" i="33" s="1"/>
  <c r="F43" i="33"/>
  <c r="S43" i="33" s="1"/>
  <c r="F125" i="33"/>
  <c r="G125" i="33" s="1"/>
  <c r="J43" i="33"/>
  <c r="AC43" i="33" s="1"/>
  <c r="S29" i="21"/>
  <c r="AC27" i="21"/>
  <c r="H27" i="36"/>
  <c r="AB27" i="36"/>
  <c r="F27" i="36"/>
  <c r="AA27" i="36"/>
  <c r="J28" i="34"/>
  <c r="W28" i="34"/>
  <c r="H11" i="34"/>
  <c r="U11" i="34" s="1"/>
  <c r="S17" i="37"/>
  <c r="J11" i="37"/>
  <c r="AC11" i="37" s="1"/>
  <c r="AC36" i="34"/>
  <c r="AC12" i="39"/>
  <c r="S45" i="21"/>
  <c r="AC37" i="37"/>
  <c r="F23" i="39"/>
  <c r="AA23" i="39" s="1"/>
  <c r="F97" i="39"/>
  <c r="G97" i="39" s="1"/>
  <c r="S26" i="37"/>
  <c r="S24" i="36"/>
  <c r="F44" i="34"/>
  <c r="AA44" i="34" s="1"/>
  <c r="J44" i="34"/>
  <c r="AC44" i="34" s="1"/>
  <c r="U31" i="37"/>
  <c r="H60" i="37"/>
  <c r="H10" i="37"/>
  <c r="U10" i="37"/>
  <c r="AC27" i="36"/>
  <c r="U9" i="34"/>
  <c r="J32" i="33"/>
  <c r="W32" i="33" s="1"/>
  <c r="H32" i="33"/>
  <c r="AB32" i="33" s="1"/>
  <c r="W40" i="34"/>
  <c r="U12" i="36"/>
  <c r="W45" i="21"/>
  <c r="AC13" i="21"/>
  <c r="S44" i="34"/>
  <c r="S27" i="36"/>
  <c r="I60" i="37"/>
  <c r="J10" i="37"/>
  <c r="AC10" i="37"/>
  <c r="H23" i="39"/>
  <c r="AB23" i="39"/>
  <c r="J11" i="34"/>
  <c r="W11" i="34" s="1"/>
  <c r="J27" i="33"/>
  <c r="W27" i="33" s="1"/>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W35" i="40"/>
  <c r="W33" i="40"/>
  <c r="W34" i="40"/>
  <c r="AB39" i="40"/>
  <c r="J37" i="40"/>
  <c r="H35" i="40"/>
  <c r="H37" i="40"/>
  <c r="H28" i="40"/>
  <c r="AB28" i="40" s="1"/>
  <c r="F28" i="40"/>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AA35" i="40"/>
  <c r="AC38" i="39"/>
  <c r="AC17" i="39"/>
  <c r="AA37" i="39"/>
  <c r="AB29" i="39"/>
  <c r="S23" i="39"/>
  <c r="AC23" i="39"/>
  <c r="W27" i="39"/>
  <c r="AC27" i="39"/>
  <c r="AC15" i="39"/>
  <c r="AB15" i="39"/>
  <c r="U42" i="39"/>
  <c r="AB13" i="39"/>
  <c r="AB27" i="39"/>
  <c r="U27" i="39"/>
  <c r="AA27" i="39"/>
  <c r="S27" i="39"/>
  <c r="S40" i="39"/>
  <c r="S31" i="39"/>
  <c r="AC11" i="39"/>
  <c r="AA12" i="39"/>
  <c r="S13" i="39"/>
  <c r="S34" i="36"/>
  <c r="AC24" i="36"/>
  <c r="S11" i="36"/>
  <c r="S12" i="36"/>
  <c r="S22" i="36"/>
  <c r="AC16" i="36"/>
  <c r="S26" i="36"/>
  <c r="U27" i="36"/>
  <c r="AC26" i="36"/>
  <c r="S14" i="36"/>
  <c r="U14" i="36"/>
  <c r="S10" i="36"/>
  <c r="W18" i="36"/>
  <c r="AC18" i="36"/>
  <c r="W25" i="36"/>
  <c r="AC32" i="36"/>
  <c r="AC20" i="36"/>
  <c r="W29" i="36"/>
  <c r="W28" i="36"/>
  <c r="W8" i="36"/>
  <c r="AB16" i="36"/>
  <c r="U13" i="36"/>
  <c r="AB18" i="36"/>
  <c r="U18" i="36"/>
  <c r="S28" i="36"/>
  <c r="W35" i="35"/>
  <c r="W24" i="35"/>
  <c r="AC25" i="35"/>
  <c r="S23" i="35"/>
  <c r="W11" i="35"/>
  <c r="W10" i="35"/>
  <c r="AB16" i="35"/>
  <c r="W14" i="35"/>
  <c r="W34" i="35"/>
  <c r="W28" i="35"/>
  <c r="AC27" i="35"/>
  <c r="U14" i="35"/>
  <c r="AB10" i="35"/>
  <c r="U8" i="35"/>
  <c r="AA13" i="35"/>
  <c r="AB13" i="35"/>
  <c r="S34" i="37"/>
  <c r="W26" i="37"/>
  <c r="AB28"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F19" i="37"/>
  <c r="AA19" i="37" s="1"/>
  <c r="G75" i="37"/>
  <c r="H19" i="37"/>
  <c r="U19" i="37" s="1"/>
  <c r="W17" i="37"/>
  <c r="AC17" i="37"/>
  <c r="AB17" i="37"/>
  <c r="S15" i="37"/>
  <c r="J15" i="37"/>
  <c r="W15" i="37" s="1"/>
  <c r="W10" i="37"/>
  <c r="S10" i="37"/>
  <c r="AB10" i="37"/>
  <c r="AC21" i="37"/>
  <c r="W21" i="37"/>
  <c r="W11" i="37"/>
  <c r="W14" i="37"/>
  <c r="W39" i="37"/>
  <c r="AB11" i="37"/>
  <c r="S37" i="37"/>
  <c r="AA14" i="37"/>
  <c r="AA38" i="37"/>
  <c r="W35" i="34"/>
  <c r="AB11" i="34"/>
  <c r="AC28" i="34"/>
  <c r="S40" i="34"/>
  <c r="AB41" i="34"/>
  <c r="S38" i="34"/>
  <c r="S36" i="34"/>
  <c r="S43" i="34"/>
  <c r="AB19" i="34"/>
  <c r="AB17" i="34"/>
  <c r="W15" i="34"/>
  <c r="W31" i="34"/>
  <c r="U23" i="34"/>
  <c r="U21" i="34"/>
  <c r="AB21" i="34"/>
  <c r="AA25" i="34"/>
  <c r="AA41" i="34"/>
  <c r="AA46" i="34"/>
  <c r="W42" i="33"/>
  <c r="U25" i="33"/>
  <c r="W11" i="33"/>
  <c r="U17" i="33"/>
  <c r="U27" i="33"/>
  <c r="U34" i="33"/>
  <c r="U38" i="33"/>
  <c r="W37" i="33"/>
  <c r="W43" i="33"/>
  <c r="AC41" i="33"/>
  <c r="AA45" i="33"/>
  <c r="U46" i="33"/>
  <c r="S23" i="33"/>
  <c r="S17" i="33"/>
  <c r="W17" i="33"/>
  <c r="U15" i="33"/>
  <c r="AB9" i="33"/>
  <c r="U9" i="33"/>
  <c r="S10" i="33"/>
  <c r="AC12" i="33"/>
  <c r="W39" i="33"/>
  <c r="W9" i="33"/>
  <c r="W13" i="33"/>
  <c r="AC46" i="33"/>
  <c r="AC19" i="33"/>
  <c r="W21" i="33"/>
  <c r="AC21" i="33"/>
  <c r="AB42" i="33"/>
  <c r="U13" i="33"/>
  <c r="U39" i="33"/>
  <c r="S42" i="33"/>
  <c r="W42" i="21"/>
  <c r="AA39" i="21"/>
  <c r="W39" i="21"/>
  <c r="AA34" i="21"/>
  <c r="AA15" i="21"/>
  <c r="AC26" i="21"/>
  <c r="AC32" i="21"/>
  <c r="AB39" i="21"/>
  <c r="W40" i="21"/>
  <c r="W34" i="21"/>
  <c r="AC28" i="21"/>
  <c r="AB23" i="21"/>
  <c r="U19" i="21"/>
  <c r="U43" i="21"/>
  <c r="U26" i="21"/>
  <c r="U30" i="21"/>
  <c r="AB36" i="21"/>
  <c r="S17" i="21"/>
  <c r="AA36" i="21"/>
  <c r="AA43"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45" i="34"/>
  <c r="AB45" i="34"/>
  <c r="AB35" i="34"/>
  <c r="W29" i="34"/>
  <c r="W43"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U28" i="40"/>
  <c r="AB21" i="40"/>
  <c r="U21" i="40"/>
  <c r="S21" i="40"/>
  <c r="AB17" i="40"/>
  <c r="W17" i="40"/>
  <c r="AC17"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H23" i="31"/>
  <c r="F7" i="61"/>
  <c r="D6" i="61"/>
  <c r="E2" i="36"/>
  <c r="F3" i="61"/>
  <c r="D5" i="61"/>
  <c r="F4" i="61"/>
  <c r="F6" i="61"/>
  <c r="E2" i="33"/>
  <c r="E2" i="34"/>
  <c r="D4" i="61"/>
  <c r="F5" i="61"/>
  <c r="E2" i="11"/>
  <c r="D3" i="61"/>
  <c r="E2" i="37"/>
  <c r="E2" i="21"/>
  <c r="E2" i="35"/>
  <c r="D7" i="61"/>
  <c r="C7" i="43" l="1"/>
  <c r="C17" i="59"/>
  <c r="E81" i="43"/>
  <c r="B79" i="43" s="1"/>
  <c r="AA15" i="40"/>
  <c r="U15" i="40"/>
  <c r="U27" i="21"/>
  <c r="AB41" i="33"/>
  <c r="AC27" i="33"/>
  <c r="AC12" i="37"/>
  <c r="W17" i="34"/>
  <c r="AB31" i="21"/>
  <c r="AB38" i="40"/>
  <c r="U38" i="40"/>
  <c r="AA9" i="33"/>
  <c r="S9" i="33"/>
  <c r="AA40" i="21"/>
  <c r="S40" i="21"/>
  <c r="AC35" i="39"/>
  <c r="W35" i="39"/>
  <c r="S27" i="33"/>
  <c r="AA27" i="33"/>
  <c r="AC29" i="21"/>
  <c r="W29" i="21"/>
  <c r="W39" i="34"/>
  <c r="AC39" i="34"/>
  <c r="AC14" i="36"/>
  <c r="W14" i="36"/>
  <c r="S9" i="34"/>
  <c r="AA9" i="34"/>
  <c r="N107" i="43"/>
  <c r="N102" i="43"/>
  <c r="U21" i="39"/>
  <c r="AB21" i="39"/>
  <c r="AB41" i="39"/>
  <c r="U41" i="39"/>
  <c r="U25" i="39"/>
  <c r="AB25" i="39"/>
  <c r="AB9" i="37"/>
  <c r="U9" i="37"/>
  <c r="W37" i="21"/>
  <c r="AC37" i="21"/>
  <c r="AA47" i="34"/>
  <c r="S47" i="34"/>
  <c r="AC44" i="33"/>
  <c r="W44" i="33"/>
  <c r="AB10" i="36"/>
  <c r="U10" i="36"/>
  <c r="W27" i="40"/>
  <c r="AC27" i="40"/>
  <c r="U10" i="33"/>
  <c r="AB10" i="33"/>
  <c r="C24" i="43"/>
  <c r="W19" i="37"/>
  <c r="AC19" i="37"/>
  <c r="U32" i="21"/>
  <c r="AB32" i="21"/>
  <c r="AC27" i="37"/>
  <c r="W27" i="37"/>
  <c r="U29" i="21"/>
  <c r="AB29" i="21"/>
  <c r="AA21" i="39"/>
  <c r="S21" i="39"/>
  <c r="W12" i="36"/>
  <c r="AC12" i="36"/>
  <c r="AC9" i="34"/>
  <c r="W9" i="34"/>
  <c r="U13" i="21"/>
  <c r="AB13" i="21"/>
  <c r="W26" i="35"/>
  <c r="AC26" i="35"/>
  <c r="AB36" i="34"/>
  <c r="U36" i="34"/>
  <c r="S15" i="39"/>
  <c r="AA15" i="39"/>
  <c r="W25" i="39"/>
  <c r="AC25" i="39"/>
  <c r="F37" i="47"/>
  <c r="B35" i="47" s="1"/>
  <c r="W23" i="37"/>
  <c r="AC23" i="37"/>
  <c r="AC32" i="37"/>
  <c r="W32" i="37"/>
  <c r="AA10" i="35"/>
  <c r="S10" i="35"/>
  <c r="S25" i="36"/>
  <c r="AA25" i="36"/>
  <c r="AB35" i="35"/>
  <c r="U35" i="35"/>
  <c r="U46" i="21"/>
  <c r="AB46" i="21"/>
  <c r="U44" i="21"/>
  <c r="AB44" i="21"/>
  <c r="W30" i="21"/>
  <c r="AC30" i="21"/>
  <c r="W14" i="21"/>
  <c r="AC14" i="21"/>
  <c r="AB42" i="21"/>
  <c r="U42" i="21"/>
  <c r="S27" i="40"/>
  <c r="AA27" i="40"/>
  <c r="AA36" i="40"/>
  <c r="S36" i="40"/>
  <c r="AC23" i="33"/>
  <c r="W23" i="33"/>
  <c r="AC25" i="33"/>
  <c r="W25" i="33"/>
  <c r="AB15" i="34"/>
  <c r="U15" i="34"/>
  <c r="AB43" i="34"/>
  <c r="U43" i="34"/>
  <c r="AA20" i="35"/>
  <c r="S20" i="35"/>
  <c r="W20" i="35"/>
  <c r="AC20" i="35"/>
  <c r="AC32" i="35"/>
  <c r="W32" i="35"/>
  <c r="W31" i="39"/>
  <c r="AC31" i="39"/>
  <c r="AB19" i="39"/>
  <c r="U19" i="39"/>
  <c r="U39" i="39"/>
  <c r="AB39" i="39"/>
  <c r="S29" i="36"/>
  <c r="AA35" i="33"/>
  <c r="F31" i="21"/>
  <c r="W22" i="35"/>
  <c r="H45" i="21"/>
  <c r="B41" i="47"/>
  <c r="F15" i="47"/>
  <c r="B13" i="47" s="1"/>
  <c r="S19" i="21"/>
  <c r="H25" i="35"/>
  <c r="S8" i="33"/>
  <c r="S10" i="21"/>
  <c r="W10" i="33"/>
  <c r="C21" i="39"/>
  <c r="W41" i="21"/>
  <c r="H9" i="21"/>
  <c r="J9" i="21"/>
  <c r="B77" i="43"/>
  <c r="C25" i="39"/>
  <c r="H33" i="36"/>
  <c r="F33" i="36"/>
  <c r="H25" i="37"/>
  <c r="J25" i="37"/>
  <c r="AA8" i="40"/>
  <c r="S8" i="40"/>
  <c r="AB9" i="40"/>
  <c r="U9" i="40"/>
  <c r="AB34" i="40"/>
  <c r="U34" i="40"/>
  <c r="AC8" i="21"/>
  <c r="W8" i="21"/>
  <c r="C27" i="39"/>
  <c r="B74" i="43"/>
  <c r="U12" i="33"/>
  <c r="AB12" i="33"/>
  <c r="H23" i="35"/>
  <c r="J23" i="35"/>
  <c r="U8" i="36"/>
  <c r="AB8" i="36"/>
  <c r="AC22" i="36"/>
  <c r="W22" i="36"/>
  <c r="AA23" i="36"/>
  <c r="S23" i="36"/>
  <c r="H9" i="36"/>
  <c r="F9" i="36"/>
  <c r="J23" i="36"/>
  <c r="H23" i="36"/>
  <c r="H44" i="39"/>
  <c r="F44" i="39"/>
  <c r="N61" i="59"/>
  <c r="N62" i="59"/>
  <c r="D4" i="47"/>
  <c r="F4" i="47" s="1"/>
  <c r="B2" i="47" s="1"/>
  <c r="C40" i="59"/>
  <c r="D39" i="59"/>
  <c r="B25" i="31"/>
  <c r="C34" i="34"/>
  <c r="N64" i="59"/>
  <c r="C28" i="31"/>
  <c r="V27" i="31"/>
  <c r="V25" i="31" s="1"/>
  <c r="S21" i="33"/>
  <c r="S21" i="34"/>
  <c r="U21" i="37"/>
  <c r="AB25" i="40"/>
  <c r="T52" i="59"/>
  <c r="C60" i="59"/>
  <c r="D47" i="59"/>
  <c r="C23" i="59"/>
  <c r="AA23" i="59"/>
  <c r="C67" i="59"/>
  <c r="Y23" i="59"/>
  <c r="Z23"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J52" i="15"/>
  <c r="M60" i="15" s="1"/>
  <c r="F90" i="34"/>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H7" i="37" l="1"/>
  <c r="AB7" i="37" s="1"/>
  <c r="T42" i="37" s="1"/>
  <c r="G42" i="37" s="1"/>
  <c r="G46" i="37" s="1"/>
  <c r="H46" i="37" s="1"/>
  <c r="M19" i="43"/>
  <c r="C66" i="59"/>
  <c r="D66" i="59" s="1"/>
  <c r="D67" i="59"/>
  <c r="C22" i="59"/>
  <c r="D22" i="59" s="1"/>
  <c r="D23" i="59"/>
  <c r="D60" i="59"/>
  <c r="T60" i="59"/>
  <c r="B125" i="57"/>
  <c r="G125" i="57" s="1"/>
  <c r="H103" i="57"/>
  <c r="D40" i="59"/>
  <c r="T40" i="59"/>
  <c r="AA44" i="39"/>
  <c r="S44" i="39"/>
  <c r="U23" i="36"/>
  <c r="AB23" i="36"/>
  <c r="S9" i="36"/>
  <c r="AA9" i="36"/>
  <c r="AC23" i="35"/>
  <c r="W23" i="35"/>
  <c r="AC25" i="37"/>
  <c r="W25" i="37"/>
  <c r="S33" i="36"/>
  <c r="AA33" i="36"/>
  <c r="W9" i="21"/>
  <c r="AC9" i="21"/>
  <c r="D17" i="59"/>
  <c r="C16" i="59"/>
  <c r="P61" i="59"/>
  <c r="P62" i="59"/>
  <c r="H34" i="34"/>
  <c r="F34" i="34"/>
  <c r="J34" i="34"/>
  <c r="AB44" i="39"/>
  <c r="U44" i="39"/>
  <c r="AC23" i="36"/>
  <c r="W23" i="36"/>
  <c r="AB9" i="36"/>
  <c r="U9" i="36"/>
  <c r="U23" i="35"/>
  <c r="AB23" i="35"/>
  <c r="U25" i="37"/>
  <c r="AB25" i="37"/>
  <c r="AB33" i="36"/>
  <c r="U33" i="36"/>
  <c r="AB9" i="21"/>
  <c r="U9" i="21"/>
  <c r="AB25" i="35"/>
  <c r="U25" i="35"/>
  <c r="AB45" i="21"/>
  <c r="U45" i="21"/>
  <c r="AA31" i="21"/>
  <c r="S31" i="21"/>
  <c r="AA27" i="34"/>
  <c r="E125" i="57"/>
  <c r="D19" i="50"/>
  <c r="B32" i="60" s="1"/>
  <c r="H74" i="43"/>
  <c r="H83" i="43"/>
  <c r="H81" i="43"/>
  <c r="H77" i="43"/>
  <c r="H72" i="43"/>
  <c r="H82" i="43"/>
  <c r="H88" i="43"/>
  <c r="H76" i="43"/>
  <c r="C18" i="12"/>
  <c r="C21" i="12" s="1"/>
  <c r="C22" i="12" s="1"/>
  <c r="C30" i="12" s="1"/>
  <c r="C28" i="12" s="1"/>
  <c r="D22" i="43"/>
  <c r="H85" i="43"/>
  <c r="H86" i="43"/>
  <c r="H73" i="43"/>
  <c r="H78" i="43"/>
  <c r="H7" i="35"/>
  <c r="F7" i="35"/>
  <c r="AA7" i="35" s="1"/>
  <c r="R38" i="35" s="1"/>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C50" i="15"/>
  <c r="F60" i="15"/>
  <c r="AC7" i="33"/>
  <c r="V48" i="33" s="1"/>
  <c r="I48" i="33" s="1"/>
  <c r="I52" i="33" s="1"/>
  <c r="J52" i="33" s="1"/>
  <c r="D113" i="43"/>
  <c r="J22" i="43" s="1"/>
  <c r="D65" i="40"/>
  <c r="E63" i="40"/>
  <c r="AA7" i="37"/>
  <c r="R42"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AA34" i="34" l="1"/>
  <c r="S34" i="34"/>
  <c r="C15" i="59"/>
  <c r="D16" i="59"/>
  <c r="T16" i="59"/>
  <c r="C21" i="43"/>
  <c r="U7" i="37"/>
  <c r="AC34" i="34"/>
  <c r="W34" i="34"/>
  <c r="AB34" i="34"/>
  <c r="U34" i="34"/>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3" i="59" l="1"/>
  <c r="C12" i="59"/>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C11" i="59"/>
  <c r="T12" i="59"/>
  <c r="B3" i="43"/>
  <c r="C6" i="11"/>
  <c r="F7" i="21"/>
  <c r="H7" i="21"/>
  <c r="AB7" i="21" s="1"/>
  <c r="T48" i="21" s="1"/>
  <c r="G48" i="21" s="1"/>
  <c r="J7" i="21"/>
  <c r="AC7" i="21" s="1"/>
  <c r="V48" i="21" s="1"/>
  <c r="I48" i="21" s="1"/>
  <c r="C65" i="15"/>
  <c r="J63" i="40"/>
  <c r="I65" i="40"/>
  <c r="U7" i="21"/>
  <c r="J59" i="34"/>
  <c r="M70" i="39"/>
  <c r="N68" i="39"/>
  <c r="S7" i="21"/>
  <c r="AA7" i="21"/>
  <c r="R48" i="21" s="1"/>
  <c r="Q46" i="15"/>
  <c r="C60" i="15"/>
  <c r="C57" i="15"/>
  <c r="C66" i="15" s="1"/>
  <c r="C37" i="15"/>
  <c r="C30" i="15" s="1"/>
  <c r="C39" i="15" s="1"/>
  <c r="Q68" i="15"/>
  <c r="J16" i="15"/>
  <c r="J25" i="15" s="1"/>
  <c r="C10" i="59" l="1"/>
  <c r="D11" i="59"/>
  <c r="C7" i="1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9" i="59" l="1"/>
  <c r="D10" i="59"/>
  <c r="C20" i="1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8" i="59" l="1"/>
  <c r="D9"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7" i="59" l="1"/>
  <c r="T8" i="59"/>
  <c r="D8"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20" i="9"/>
  <c r="D19" i="57"/>
  <c r="D19" i="9"/>
  <c r="D6" i="59" l="1"/>
  <c r="C5" i="59"/>
  <c r="D5" i="59" s="1"/>
  <c r="D103" i="57"/>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57"/>
  <c r="C19" i="9"/>
  <c r="B3" i="34" l="1"/>
  <c r="D22" i="57"/>
  <c r="C103" i="57"/>
  <c r="G19" i="57"/>
  <c r="C105" i="57" s="1"/>
  <c r="D22" i="9"/>
  <c r="C101" i="9"/>
  <c r="G19" i="9"/>
  <c r="L19" i="9" s="1"/>
  <c r="C106" i="57"/>
  <c r="C32" i="9"/>
  <c r="C35" i="9" s="1"/>
  <c r="C34" i="9" s="1"/>
  <c r="G47" i="40"/>
  <c r="H47" i="40" s="1"/>
  <c r="E42" i="40"/>
  <c r="C20" i="57"/>
  <c r="C20" i="9"/>
  <c r="G20" i="57" l="1"/>
  <c r="R27" i="31" s="1"/>
  <c r="C104" i="57"/>
  <c r="C102" i="9"/>
  <c r="G20" i="9"/>
  <c r="I47" i="40"/>
  <c r="J47" i="40" s="1"/>
  <c r="E47" i="40"/>
  <c r="F47" i="40" s="1"/>
  <c r="E46" i="40"/>
  <c r="F46" i="40" s="1"/>
  <c r="C43" i="40"/>
  <c r="C42" i="40"/>
  <c r="C33" i="57" l="1"/>
  <c r="AD27" i="31"/>
  <c r="S27" i="31"/>
  <c r="T27" i="31"/>
  <c r="R29" i="31"/>
  <c r="S29" i="31" s="1"/>
  <c r="R28" i="31"/>
  <c r="T29" i="3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8" i="31" l="1"/>
  <c r="D14" i="62" s="1"/>
  <c r="AD28" i="31"/>
  <c r="T25" i="31"/>
  <c r="B23" i="31" s="1"/>
  <c r="S25" i="3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10" i="9" s="1"/>
  <c r="I121" i="9"/>
  <c r="I103" i="9" s="1"/>
  <c r="D122" i="9"/>
  <c r="D5" i="52" s="1"/>
  <c r="B39" i="60" s="1"/>
  <c r="F122" i="9"/>
  <c r="F5" i="52" s="1"/>
  <c r="B42" i="60" s="1"/>
  <c r="C103" i="9"/>
  <c r="D106" i="9"/>
  <c r="D112" i="9" s="1"/>
  <c r="H126" i="57" l="1"/>
  <c r="H5" i="52" s="1"/>
  <c r="D110" i="57"/>
  <c r="I104" i="57"/>
  <c r="D28" i="50" s="1"/>
  <c r="D29" i="50" s="1"/>
  <c r="C107" i="57"/>
  <c r="D111" i="57"/>
  <c r="C108" i="57"/>
  <c r="I105" i="57"/>
  <c r="D30" i="50" s="1"/>
  <c r="D107" i="9"/>
  <c r="D113" i="9" s="1"/>
  <c r="I4" i="52"/>
  <c r="N48" i="9"/>
  <c r="D7" i="50"/>
  <c r="C104" i="9"/>
  <c r="D45" i="9"/>
  <c r="D52" i="9" s="1"/>
  <c r="D117" i="9"/>
  <c r="D125" i="9"/>
  <c r="N49" i="9"/>
  <c r="D9" i="50" l="1"/>
  <c r="B21" i="60" s="1"/>
  <c r="D47" i="57"/>
  <c r="N50" i="57"/>
  <c r="I112" i="57"/>
  <c r="D121" i="57"/>
  <c r="I117" i="57" s="1"/>
  <c r="D116" i="57"/>
  <c r="D117" i="57" s="1"/>
  <c r="I113" i="57" s="1"/>
  <c r="D130" i="57" s="1"/>
  <c r="D10" i="52" s="1"/>
  <c r="B5" i="62"/>
  <c r="E14" i="62"/>
  <c r="F14" i="62"/>
  <c r="I115" i="9"/>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23" i="50" l="1"/>
  <c r="B34" i="60" s="1"/>
  <c r="D38" i="50"/>
  <c r="B62" i="60" s="1"/>
  <c r="D5" i="62"/>
  <c r="C5" i="62"/>
  <c r="D129" i="57"/>
  <c r="D36" i="50"/>
  <c r="D37" i="50" s="1"/>
  <c r="N51" i="57"/>
  <c r="D15" i="50"/>
  <c r="C80" i="57"/>
  <c r="C75" i="57" s="1"/>
  <c r="C74" i="57"/>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C81" i="57" l="1"/>
  <c r="C82" i="57" s="1"/>
  <c r="E82" i="57" s="1"/>
  <c r="E83" i="57" s="1"/>
  <c r="B29" i="60"/>
  <c r="D16" i="50"/>
  <c r="B30" i="60" s="1"/>
  <c r="C97" i="57"/>
  <c r="M70" i="57"/>
  <c r="N70" i="57" s="1"/>
  <c r="M65" i="57"/>
  <c r="N65" i="57" s="1"/>
  <c r="M67" i="57"/>
  <c r="N67" i="57" s="1"/>
  <c r="M68" i="57"/>
  <c r="N68" i="57" s="1"/>
  <c r="M69" i="57"/>
  <c r="N69" i="57" s="1"/>
  <c r="M66" i="57"/>
  <c r="N66" i="57" s="1"/>
  <c r="G14" i="62"/>
  <c r="B6" i="62" s="1"/>
  <c r="D8" i="52"/>
  <c r="C81" i="9"/>
  <c r="C96" i="9"/>
  <c r="E96" i="9" s="1"/>
  <c r="E97" i="9" s="1"/>
  <c r="C83" i="57" l="1"/>
  <c r="N71" i="57"/>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<sst xmlns="http://schemas.openxmlformats.org/spreadsheetml/2006/main" count="6911" uniqueCount="3024">
  <si>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</si>
  <si>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</si>
  <si>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</si>
  <si>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</si>
  <si>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</si>
  <si>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</si>
  <si>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</si>
  <si>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</si>
  <si>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</si>
  <si>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</si>
  <si>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</si>
  <si>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</si>
  <si>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</si>
  <si>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</si>
  <si>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</si>
  <si>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</si>
  <si>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</si>
  <si>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</si>
  <si>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</si>
  <si>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</si>
  <si>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</si>
  <si>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</si>
  <si>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</si>
  <si>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</si>
  <si>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</si>
  <si>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</si>
  <si>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</si>
  <si>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</si>
  <si>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</si>
  <si>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</si>
  <si>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</si>
  <si>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</si>
  <si>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</si>
  <si>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</si>
  <si>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</si>
  <si>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</si>
  <si>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</si>
  <si>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</si>
  <si>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</si>
  <si>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</si>
  <si>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</si>
  <si>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</si>
  <si>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</si>
  <si>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</si>
  <si>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</si>
  <si>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</si>
  <si>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</si>
  <si>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</si>
  <si>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</si>
  <si>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</si>
  <si>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</si>
  <si>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</si>
  <si>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</si>
  <si>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</si>
  <si>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</si>
  <si>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</si>
  <si>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</si>
  <si>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</si>
  <si>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</si>
  <si>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</si>
  <si>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</si>
  <si>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</si>
  <si>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</si>
  <si>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</si>
  <si>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</si>
  <si>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</si>
  <si>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</si>
  <si>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</si>
  <si>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</si>
  <si>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</si>
  <si>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</si>
  <si>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</si>
  <si>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</si>
  <si>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</si>
  <si>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</si>
  <si>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</si>
  <si>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</si>
  <si>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</si>
  <si>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</si>
  <si>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</si>
  <si>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</si>
  <si>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</si>
  <si>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</si>
  <si>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</si>
  <si>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</si>
  <si>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</si>
  <si>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</si>
  <si>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</si>
  <si>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</si>
  <si>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</si>
  <si>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</si>
  <si>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</si>
  <si>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</si>
  <si>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</si>
  <si>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</si>
  <si>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</si>
  <si>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</si>
  <si>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</si>
  <si>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</si>
  <si>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</si>
  <si>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</si>
  <si>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</si>
  <si>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</si>
  <si>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</si>
  <si>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</si>
  <si>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</si>
  <si>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</si>
  <si>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</si>
  <si>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</si>
  <si>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</si>
  <si>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</si>
  <si>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</si>
  <si>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</si>
  <si>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</si>
  <si>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</si>
  <si>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</si>
  <si>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</si>
  <si>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</si>
  <si>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</si>
  <si>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</si>
  <si>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</si>
  <si>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</si>
  <si>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</si>
  <si>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</si>
  <si>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</si>
  <si>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</si>
  <si>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</si>
  <si>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</si>
  <si>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</si>
  <si>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</si>
  <si>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</si>
  <si>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</si>
  <si>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</si>
  <si>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</si>
  <si>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</si>
  <si>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</si>
  <si>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</si>
  <si>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</si>
  <si>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</si>
  <si>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</si>
  <si>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</si>
  <si>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</si>
  <si>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</si>
  <si>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</si>
  <si>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</si>
  <si>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</si>
  <si>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</si>
  <si>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</si>
  <si>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</si>
  <si>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</si>
  <si>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</si>
  <si>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</si>
  <si>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</si>
  <si>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</si>
  <si>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</si>
  <si>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</si>
  <si>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</si>
  <si>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</si>
  <si>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</si>
  <si>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</si>
  <si>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</si>
  <si>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</si>
  <si>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</si>
  <si>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</si>
  <si>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</si>
  <si>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</si>
  <si>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</si>
  <si>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</si>
  <si>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</si>
  <si>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</si>
  <si>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</si>
  <si>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</si>
  <si>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</si>
  <si>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</si>
  <si>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</si>
  <si>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</si>
  <si>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</si>
  <si>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</si>
  <si>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</si>
  <si>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</si>
  <si>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</si>
  <si>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</si>
  <si>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</si>
  <si>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</si>
  <si>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</si>
  <si>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</si>
  <si>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</si>
  <si>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</si>
  <si>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</si>
  <si>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</si>
  <si>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</si>
  <si>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</si>
  <si>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</si>
  <si>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</si>
  <si>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</si>
  <si>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</si>
  <si>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</si>
  <si>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</si>
  <si>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</si>
  <si>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</si>
  <si>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</si>
  <si>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</si>
  <si>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</si>
  <si>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</si>
  <si>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</si>
  <si>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</si>
  <si>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</si>
  <si>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</si>
  <si>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</si>
  <si>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</si>
  <si>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</si>
  <si>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</si>
  <si>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</si>
  <si>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</si>
  <si>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</si>
  <si>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</si>
  <si>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</si>
  <si>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</si>
  <si>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</si>
  <si>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</si>
  <si>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</si>
  <si>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</si>
  <si>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</si>
  <si>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</si>
  <si>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</si>
  <si>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</si>
  <si>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</si>
  <si>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</si>
  <si>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</si>
  <si>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</si>
  <si>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</si>
  <si>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</si>
  <si>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</si>
  <si>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</si>
  <si>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</si>
  <si>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</si>
  <si>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</si>
  <si>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</si>
  <si>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</si>
  <si>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</si>
  <si>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</si>
  <si>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</si>
  <si>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</si>
  <si>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</si>
  <si>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</si>
  <si>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</si>
  <si>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</si>
  <si>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</si>
  <si>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</si>
  <si>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</si>
  <si>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</si>
  <si>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</si>
  <si>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</si>
  <si>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</si>
  <si>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</si>
  <si>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</si>
  <si>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</si>
  <si>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</si>
  <si>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</si>
  <si>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</si>
  <si>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</si>
  <si>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</si>
  <si>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</si>
  <si>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</si>
  <si>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</si>
  <si>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</si>
  <si>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</si>
  <si>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</si>
  <si>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</si>
  <si>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</si>
  <si>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</si>
  <si>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</si>
  <si>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</si>
  <si>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</si>
  <si>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</si>
  <si>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</si>
  <si>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</si>
  <si>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</si>
  <si>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</si>
  <si>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</si>
  <si>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</si>
  <si>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</si>
  <si>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</si>
  <si>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</si>
  <si>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</si>
  <si>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</si>
  <si>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</si>
  <si>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</si>
  <si>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</si>
  <si>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</si>
  <si>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</si>
  <si>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</si>
  <si>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</si>
  <si>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</si>
  <si>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</si>
  <si>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</si>
  <si>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</si>
  <si>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</si>
  <si>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</si>
  <si>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</si>
  <si>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</si>
  <si>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</si>
  <si>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</si>
  <si>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</si>
  <si>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</si>
  <si>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</si>
  <si>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</si>
  <si>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</si>
  <si>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</si>
  <si>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</si>
  <si>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</si>
  <si>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</si>
  <si>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</si>
  <si>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</si>
  <si>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</si>
  <si>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</si>
  <si>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</si>
  <si>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</si>
  <si>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</si>
  <si>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</si>
  <si>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</si>
  <si>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</si>
  <si>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</si>
  <si>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</si>
  <si>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</si>
  <si>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</si>
  <si>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</si>
  <si>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</si>
  <si>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</si>
  <si>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</si>
  <si>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</si>
  <si>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</si>
  <si>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</si>
  <si>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</si>
  <si>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</si>
  <si>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</si>
  <si>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</si>
  <si>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</si>
  <si>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</si>
  <si>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</si>
  <si>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</si>
  <si>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</si>
  <si>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</si>
  <si>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</si>
  <si>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</si>
  <si>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</si>
  <si>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</si>
  <si>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</si>
  <si>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</si>
  <si>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</si>
  <si>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</si>
  <si>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</si>
  <si>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</si>
  <si>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</si>
  <si>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</si>
  <si>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</si>
  <si>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</si>
  <si>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</si>
  <si>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</si>
  <si>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</si>
  <si>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</si>
  <si>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</si>
  <si>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</si>
  <si>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</si>
  <si>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</si>
  <si>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</si>
  <si>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</si>
  <si>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</si>
  <si>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</si>
  <si>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</si>
  <si>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</si>
  <si>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</si>
  <si>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</si>
  <si>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</si>
  <si>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</si>
  <si>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</si>
  <si>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</si>
  <si>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</si>
  <si>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</si>
  <si>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</si>
  <si>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</si>
  <si>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</si>
  <si>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</si>
  <si>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</si>
  <si>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</si>
  <si>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</si>
  <si>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</si>
  <si>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</si>
  <si>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</si>
  <si>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</si>
  <si>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</si>
  <si>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</si>
  <si>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</si>
  <si>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</si>
  <si>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</si>
  <si>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</si>
  <si>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</si>
  <si>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</si>
  <si>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</si>
  <si>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</si>
  <si>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</si>
  <si>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</si>
  <si>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</si>
  <si>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</si>
  <si>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</si>
  <si>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</si>
  <si>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</si>
  <si>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</si>
  <si>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</si>
  <si>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</si>
  <si>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</si>
  <si>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</si>
  <si>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</si>
  <si>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</si>
  <si>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</si>
  <si>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</si>
  <si>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</si>
  <si>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</si>
  <si>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</si>
  <si>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</si>
  <si>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</si>
  <si>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</si>
  <si>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</si>
  <si>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</si>
  <si>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</si>
  <si>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</si>
  <si>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</si>
  <si>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</si>
  <si>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</si>
  <si>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</si>
  <si>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</si>
  <si>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</si>
  <si>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</si>
  <si>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</si>
  <si>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</si>
  <si>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</si>
  <si>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</si>
  <si>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</si>
  <si>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</si>
  <si>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</si>
  <si>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</si>
  <si>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</si>
  <si>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</si>
  <si>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</si>
  <si>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</si>
  <si>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</si>
  <si>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</si>
  <si>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</si>
  <si>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</si>
  <si>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</si>
  <si>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</si>
  <si>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</si>
  <si>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</si>
  <si>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</si>
  <si>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</si>
  <si>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</si>
  <si>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</si>
  <si>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</si>
  <si>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</si>
  <si>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</si>
  <si>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</si>
  <si>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</si>
  <si>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</si>
  <si>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</si>
  <si>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</si>
  <si>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</si>
  <si>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</si>
  <si>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</si>
  <si>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</si>
  <si>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</si>
  <si>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</si>
  <si>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</si>
  <si>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</si>
  <si>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</si>
  <si>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</si>
  <si>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</si>
  <si>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</si>
  <si>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</si>
  <si>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</si>
  <si>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</si>
  <si>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</si>
  <si>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</si>
  <si>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</si>
  <si>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</si>
  <si>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</si>
  <si>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</si>
  <si>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</si>
  <si>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</si>
  <si>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</si>
  <si>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</si>
  <si>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</si>
  <si>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</si>
  <si>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</si>
  <si>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</si>
  <si>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</si>
  <si>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</si>
  <si>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</si>
  <si>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</si>
  <si>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</si>
  <si>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</si>
  <si>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</si>
  <si>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</si>
  <si>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</si>
  <si>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</si>
  <si>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</si>
  <si>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</si>
  <si>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</si>
  <si>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</si>
  <si>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</si>
  <si>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</si>
  <si>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</si>
  <si>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</si>
  <si>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</si>
  <si>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</si>
  <si>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</si>
  <si>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</si>
  <si>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</si>
  <si>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</si>
  <si>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</si>
  <si>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</si>
  <si>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</si>
  <si>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</si>
  <si>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</si>
  <si>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</si>
  <si>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</si>
  <si>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</si>
  <si>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</si>
  <si>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</si>
  <si>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</si>
  <si>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</si>
  <si>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</si>
  <si>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</si>
  <si>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</si>
  <si>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</si>
  <si>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</si>
  <si>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</si>
  <si>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</si>
  <si>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</si>
  <si>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</si>
  <si>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</si>
  <si>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</si>
  <si>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</si>
  <si>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</si>
  <si>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</si>
  <si>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</si>
  <si>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</si>
  <si>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</si>
  <si>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</si>
  <si>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</si>
  <si>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</si>
  <si>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</si>
  <si>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</si>
  <si>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</si>
  <si>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</si>
  <si>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</si>
  <si>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</si>
  <si>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</si>
  <si>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</si>
  <si>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</si>
  <si>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</si>
  <si>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</si>
  <si>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</si>
  <si>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</si>
  <si>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</si>
  <si>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</si>
  <si>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</si>
  <si>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</si>
  <si>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</si>
  <si>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</si>
  <si>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</si>
  <si>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</si>
  <si>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</si>
  <si>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</si>
  <si>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</si>
  <si>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</si>
  <si>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</si>
  <si>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</si>
  <si>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</si>
  <si>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</si>
  <si>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</si>
  <si>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</si>
  <si>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</si>
  <si>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</si>
  <si>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</si>
  <si>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</si>
  <si>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</si>
  <si>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</si>
  <si>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</si>
  <si>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</si>
  <si>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</si>
  <si>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</si>
  <si>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</si>
  <si>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</si>
  <si>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</si>
  <si>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</si>
  <si>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</si>
  <si>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</si>
  <si>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</si>
  <si>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</si>
  <si>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</si>
  <si>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</si>
  <si>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</si>
  <si>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</si>
  <si>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</si>
  <si>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</si>
  <si>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</si>
  <si>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</si>
  <si>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</si>
  <si>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</si>
  <si>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</si>
  <si>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</si>
  <si>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</si>
  <si>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</si>
  <si>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</si>
  <si>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</si>
  <si>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</si>
  <si>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</si>
  <si>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</si>
  <si>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</si>
  <si>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</si>
  <si>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</si>
  <si>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</si>
  <si>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</si>
  <si>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</si>
  <si>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</si>
  <si>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</si>
  <si>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</si>
  <si>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</si>
  <si>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</si>
  <si>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</si>
  <si>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</si>
  <si>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</si>
  <si>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</si>
  <si>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</si>
  <si>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</si>
  <si>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</si>
  <si>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</si>
  <si>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</si>
  <si>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</si>
  <si>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</si>
  <si>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</si>
  <si>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</si>
  <si>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</si>
  <si>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</si>
  <si>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</si>
  <si>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</si>
  <si>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</si>
  <si>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</si>
  <si>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</si>
  <si>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</si>
  <si>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</si>
  <si>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</si>
  <si>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</si>
  <si>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</si>
  <si>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</si>
  <si>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</si>
  <si>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</si>
  <si>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</si>
  <si>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</si>
  <si>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</si>
  <si>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</si>
  <si>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</si>
  <si>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</si>
  <si>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</si>
  <si>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</si>
  <si>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</si>
  <si>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</si>
  <si>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</si>
  <si>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</si>
  <si>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</si>
  <si>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</si>
  <si>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</si>
  <si>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</si>
  <si>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</si>
  <si>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</si>
  <si>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</si>
  <si>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</si>
  <si>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</si>
  <si>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</si>
  <si>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</si>
  <si>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</si>
  <si>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</si>
  <si>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</si>
  <si>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</si>
  <si>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</si>
  <si>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</si>
  <si>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</si>
  <si>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</si>
  <si>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</si>
  <si>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</si>
  <si>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</si>
  <si>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</si>
  <si>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</si>
  <si>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</si>
  <si>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</si>
  <si>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</si>
  <si>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</si>
  <si>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</si>
  <si>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</si>
  <si>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</si>
  <si>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</si>
  <si>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</si>
  <si>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</si>
  <si>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</si>
  <si>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</si>
  <si>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</si>
  <si>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</si>
  <si>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</si>
  <si>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</si>
  <si>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</si>
  <si>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</si>
  <si>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</si>
  <si>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</si>
  <si>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</si>
  <si>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</si>
  <si>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</si>
  <si>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</si>
  <si>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</si>
  <si>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</si>
  <si>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</si>
  <si>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</si>
  <si>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</si>
  <si>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</si>
  <si>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</si>
  <si>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</si>
  <si>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</si>
  <si>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</si>
  <si>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</si>
  <si>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</si>
  <si>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</si>
  <si>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</si>
  <si>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</si>
  <si>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</si>
  <si>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</si>
  <si>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</si>
  <si>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</si>
  <si>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</si>
  <si>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</si>
  <si>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</si>
  <si>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</si>
  <si>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</si>
  <si>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</si>
  <si>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</si>
  <si>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</si>
  <si>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</si>
  <si>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</si>
  <si>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</si>
  <si>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</si>
  <si>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</si>
  <si>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</si>
  <si>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</si>
  <si>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</si>
  <si>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</si>
  <si>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</si>
  <si>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</si>
  <si>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</si>
  <si>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</si>
  <si>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</si>
  <si>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</si>
  <si>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</si>
  <si>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</si>
  <si>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</si>
  <si>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</si>
  <si>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</si>
  <si>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</si>
  <si>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</si>
  <si>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</si>
  <si>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</si>
  <si>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</si>
  <si>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</si>
  <si>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</si>
  <si>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</si>
  <si>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</si>
  <si>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</si>
  <si>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</si>
  <si>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</si>
  <si>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</si>
  <si>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</si>
  <si>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</si>
  <si>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</si>
  <si>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</si>
  <si>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</si>
  <si>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</si>
  <si>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</si>
  <si>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</si>
  <si>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</si>
  <si>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</si>
  <si>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</si>
  <si>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</si>
  <si>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</si>
  <si>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</si>
  <si>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</si>
  <si>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</si>
  <si>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</si>
  <si>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</si>
  <si>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</si>
  <si>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</si>
  <si>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</si>
  <si>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</si>
  <si>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</si>
  <si>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</si>
  <si>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</si>
  <si>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</si>
  <si>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</si>
  <si>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</si>
  <si>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</si>
  <si>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</si>
  <si>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</si>
  <si>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</si>
  <si>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</si>
  <si>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</si>
  <si>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</si>
  <si>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</si>
  <si>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</si>
  <si>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</si>
  <si>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</si>
  <si>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</si>
  <si>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</si>
  <si>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</si>
  <si>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</si>
  <si>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</si>
  <si>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</si>
  <si>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</si>
  <si>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</si>
  <si>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</si>
  <si>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</si>
  <si>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</si>
  <si>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</si>
  <si>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</si>
  <si>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</si>
  <si>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</si>
  <si>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</si>
  <si>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</si>
  <si>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</si>
  <si>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</si>
  <si>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</si>
  <si>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</si>
  <si>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</si>
  <si>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</si>
  <si>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</si>
  <si>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</si>
  <si>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</si>
  <si>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</si>
  <si>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</si>
  <si>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</si>
  <si>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</si>
  <si>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</si>
  <si>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</si>
  <si>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</si>
  <si>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</si>
  <si>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</si>
  <si>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</si>
  <si>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</si>
  <si>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</si>
  <si>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</si>
  <si>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</si>
  <si>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</si>
  <si>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</si>
  <si>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</si>
  <si>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</si>
  <si>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</si>
  <si>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</si>
  <si>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</si>
  <si>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</si>
  <si>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</si>
  <si>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</si>
  <si>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</si>
  <si>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</si>
  <si>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</si>
  <si>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</si>
  <si>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</si>
  <si>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</si>
  <si>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</si>
  <si>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</si>
  <si>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</si>
  <si>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</si>
  <si>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</si>
  <si>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</si>
  <si>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</si>
  <si>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</si>
  <si>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</si>
  <si>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</si>
  <si>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</si>
  <si>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</si>
  <si>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</si>
  <si>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</si>
  <si>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</si>
  <si>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</si>
  <si>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</si>
  <si>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</si>
  <si>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</si>
  <si>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</si>
  <si>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</si>
  <si>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</si>
  <si>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</si>
  <si>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</si>
  <si>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</si>
  <si>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</si>
  <si>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</si>
  <si>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</si>
  <si>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</si>
  <si>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</si>
  <si>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</si>
  <si>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</si>
  <si>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</si>
  <si>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</si>
  <si>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</si>
  <si>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</si>
  <si>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</si>
  <si>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</si>
  <si>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</si>
  <si>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</si>
  <si>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</si>
  <si>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</si>
  <si>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</si>
  <si>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</si>
  <si>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</si>
  <si>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</si>
  <si>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</si>
  <si>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</si>
  <si>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</si>
  <si>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</si>
  <si>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</si>
  <si>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</si>
  <si>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</si>
  <si>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</si>
  <si>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</si>
  <si>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</si>
  <si>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</si>
  <si>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</si>
  <si>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</si>
  <si>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</si>
  <si>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</si>
  <si>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</si>
  <si>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</si>
  <si>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</si>
  <si>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</si>
  <si>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</si>
  <si>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</si>
  <si>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</si>
  <si>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</si>
  <si>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</si>
  <si>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</si>
  <si>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</si>
  <si>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</si>
  <si>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</si>
  <si>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</si>
  <si>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</si>
  <si>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</si>
  <si>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</si>
  <si>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</si>
  <si>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</si>
  <si>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</si>
  <si>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</si>
  <si>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</si>
  <si>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</si>
  <si>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</si>
  <si>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</si>
  <si>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</si>
  <si>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</si>
  <si>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</si>
  <si>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</si>
  <si>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</si>
  <si>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</si>
  <si>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</si>
  <si>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</si>
  <si>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</si>
  <si>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</si>
  <si>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</si>
  <si>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</si>
  <si>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</si>
  <si>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</si>
  <si>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</si>
  <si>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</si>
  <si>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</si>
  <si>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</si>
  <si>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</si>
  <si>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</si>
  <si>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</si>
  <si>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</si>
  <si>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</si>
  <si>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</si>
  <si>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</si>
  <si>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</si>
  <si>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</si>
  <si>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</si>
  <si>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</si>
  <si>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</si>
  <si>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</si>
  <si>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</si>
  <si>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</si>
  <si>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</si>
  <si>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</si>
  <si>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</si>
  <si>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</si>
  <si>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</si>
  <si>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</si>
  <si>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</si>
  <si>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</si>
  <si>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</si>
  <si>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</si>
  <si>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</si>
  <si>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</si>
  <si>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</si>
  <si>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</si>
  <si>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</si>
  <si>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</si>
  <si>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</si>
  <si>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</si>
  <si>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</si>
  <si>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</si>
  <si>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</si>
  <si>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</si>
  <si>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</si>
  <si>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</si>
  <si>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</si>
  <si>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</si>
  <si>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</si>
  <si>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</si>
  <si>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</si>
  <si>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</si>
  <si>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</si>
  <si>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</si>
  <si>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</si>
  <si>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</si>
  <si>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</si>
  <si>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</si>
  <si>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</si>
  <si>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</si>
  <si>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</si>
  <si>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</si>
  <si>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</si>
  <si>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</si>
  <si>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</si>
  <si>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</si>
  <si>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</si>
  <si>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</si>
  <si>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</si>
  <si>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</si>
  <si>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</si>
  <si>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</si>
  <si>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</si>
  <si>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</si>
  <si>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</si>
  <si>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</si>
  <si>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</si>
  <si>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</si>
  <si>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</si>
  <si>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</si>
  <si>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</si>
  <si>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</si>
  <si>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</si>
  <si>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</si>
  <si>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</si>
  <si>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</si>
  <si>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</si>
  <si>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</si>
  <si>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</si>
  <si>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</si>
  <si>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</si>
  <si>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</si>
  <si>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</si>
  <si>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</si>
  <si>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</si>
  <si>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</si>
  <si>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</si>
  <si>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</si>
  <si>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</si>
  <si>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</si>
  <si>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</si>
  <si>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</si>
  <si>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</si>
  <si>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</si>
  <si>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</si>
  <si>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</si>
  <si>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</si>
  <si>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</si>
  <si>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</si>
  <si>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</si>
  <si>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</si>
  <si>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</si>
  <si>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</si>
  <si>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</si>
  <si>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</si>
  <si>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</si>
  <si>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</si>
  <si>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</si>
  <si>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</si>
  <si>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</si>
  <si>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</si>
  <si>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</si>
  <si>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</si>
  <si>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</si>
  <si>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</si>
  <si>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</si>
  <si>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</si>
  <si>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</si>
  <si>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</si>
  <si>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</si>
  <si>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</si>
  <si>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</si>
  <si>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</si>
  <si>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</si>
  <si>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</si>
  <si>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</si>
  <si>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</si>
  <si>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</si>
  <si>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</si>
  <si>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</si>
  <si>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</si>
  <si>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</si>
  <si>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</si>
  <si>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</si>
  <si>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</si>
  <si>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</si>
  <si>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</si>
  <si>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</si>
  <si>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</si>
  <si>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</si>
  <si>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</si>
  <si>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</si>
  <si>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</si>
  <si>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</si>
  <si>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</si>
  <si>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</si>
  <si>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</si>
  <si>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</si>
  <si>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</si>
  <si>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</si>
  <si>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</si>
  <si>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</si>
  <si>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</si>
  <si>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</si>
  <si>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</si>
  <si>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</si>
  <si>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</si>
  <si>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</si>
  <si>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</si>
  <si>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</si>
  <si>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</si>
  <si>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</si>
  <si>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</si>
  <si>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</si>
  <si>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</si>
  <si>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</si>
  <si>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</si>
  <si>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</si>
  <si>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</si>
  <si>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</si>
  <si>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</si>
  <si>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</si>
  <si>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</si>
  <si>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</si>
  <si>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</si>
  <si>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</si>
  <si>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</si>
  <si>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</si>
  <si>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</si>
  <si>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</si>
  <si>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</si>
  <si>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</si>
  <si>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</si>
  <si>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</si>
  <si>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</si>
  <si>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</si>
  <si>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</si>
  <si>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</si>
  <si>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</si>
  <si>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</si>
  <si>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</si>
  <si>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</si>
  <si>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</si>
  <si>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</si>
  <si>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</si>
  <si>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</si>
  <si>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</si>
  <si>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</si>
  <si>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</si>
  <si>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</si>
  <si>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</si>
  <si>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</si>
  <si>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</si>
  <si>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</si>
  <si>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</si>
  <si>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</si>
  <si>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</si>
  <si>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</si>
  <si>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</si>
  <si>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</si>
  <si>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</si>
  <si>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</si>
  <si>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</si>
  <si>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</si>
  <si>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</si>
  <si>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</si>
  <si>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</si>
  <si>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</si>
  <si>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</si>
  <si>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</si>
  <si>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</si>
  <si>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</si>
  <si>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</si>
  <si>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</si>
  <si>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</si>
  <si>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</si>
  <si>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</si>
  <si>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</si>
  <si>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</si>
  <si>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</si>
  <si>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</si>
  <si>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</si>
  <si>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</si>
  <si>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</si>
  <si>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</si>
  <si>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</si>
  <si>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</si>
  <si>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</si>
  <si>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</si>
  <si>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</si>
  <si>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</si>
  <si>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</si>
  <si>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</si>
  <si>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</si>
  <si>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</si>
  <si>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</si>
  <si>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</si>
  <si>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</si>
  <si>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</si>
  <si>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</si>
  <si>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</si>
  <si>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</si>
  <si>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</si>
  <si>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</si>
  <si>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</si>
  <si>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</si>
  <si>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</si>
  <si>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</si>
  <si>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</si>
  <si>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</si>
  <si>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</si>
  <si>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</si>
  <si>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</si>
  <si>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</si>
  <si>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</si>
  <si>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</si>
  <si>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</si>
  <si>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</si>
  <si>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</si>
  <si>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</si>
  <si>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</si>
  <si>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</si>
  <si>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</si>
  <si>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</si>
  <si>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</si>
  <si>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</si>
  <si>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</si>
  <si>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</si>
  <si>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</si>
  <si>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</si>
  <si>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</si>
  <si>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</si>
  <si>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</si>
  <si>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</si>
  <si>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</si>
  <si>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</si>
  <si>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</si>
  <si>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</si>
  <si>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</si>
  <si>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</si>
  <si>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</si>
  <si>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</si>
  <si>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</si>
  <si>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</si>
  <si>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</si>
  <si>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</si>
  <si>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</si>
  <si>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</si>
  <si>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</si>
  <si>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</si>
  <si>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</si>
  <si>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</si>
  <si>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</si>
  <si>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</si>
  <si>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</si>
  <si>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</si>
  <si>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</si>
  <si>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</si>
  <si>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</si>
  <si>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</si>
  <si>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</si>
  <si>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</si>
  <si>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</si>
  <si>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</si>
  <si>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</si>
  <si>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</si>
  <si>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</si>
  <si>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</si>
  <si>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</si>
  <si>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</si>
  <si>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</si>
  <si>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</si>
  <si>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</si>
  <si>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</si>
  <si>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</si>
  <si>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</si>
  <si>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</si>
  <si>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</si>
  <si>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</si>
  <si>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</si>
  <si>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</si>
  <si>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</si>
  <si>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</si>
  <si>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</si>
  <si>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</si>
  <si>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</si>
  <si>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</si>
  <si>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</si>
  <si>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</si>
  <si>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</si>
  <si>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</si>
  <si>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</si>
  <si>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</si>
  <si>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</si>
  <si>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</si>
  <si>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</si>
  <si>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</si>
  <si>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</si>
  <si>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</si>
  <si>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</si>
  <si>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</si>
  <si>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</si>
  <si>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</si>
  <si>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</si>
  <si>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</si>
  <si>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</si>
  <si>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</si>
  <si>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</si>
  <si>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</si>
  <si>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</si>
  <si>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</si>
  <si>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</si>
  <si>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</si>
  <si>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</si>
  <si>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</si>
  <si>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</si>
  <si>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</si>
  <si>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</si>
  <si>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</si>
  <si>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</si>
  <si>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</si>
  <si>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</si>
  <si>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</si>
  <si>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</si>
  <si>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</si>
  <si>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</si>
  <si>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</si>
  <si>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</si>
  <si>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</si>
  <si>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</si>
  <si>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</si>
  <si>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</si>
  <si>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</si>
  <si>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</si>
  <si>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</si>
  <si>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</si>
  <si>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</si>
  <si>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</si>
  <si>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</si>
  <si>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</si>
  <si>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</si>
  <si>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</si>
  <si>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</si>
  <si>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</si>
  <si>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</si>
  <si>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</si>
  <si>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</si>
  <si>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</si>
  <si>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</si>
  <si>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</si>
  <si>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</si>
  <si>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</si>
  <si>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</si>
  <si>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</si>
  <si>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</si>
  <si>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</si>
  <si>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</si>
  <si>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</si>
  <si>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</si>
  <si>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</si>
  <si>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</si>
  <si>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</si>
  <si>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</si>
  <si>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</si>
  <si>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</si>
  <si>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</si>
  <si>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</si>
  <si>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</si>
  <si>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</si>
  <si>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</si>
  <si>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</si>
  <si>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</si>
  <si>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</si>
  <si>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</si>
  <si>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</si>
  <si>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</si>
  <si>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</si>
  <si>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</si>
  <si>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</si>
  <si>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</si>
  <si>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</si>
  <si>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</si>
  <si>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</si>
  <si>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</si>
  <si>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</si>
  <si>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</si>
  <si>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</si>
  <si>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</si>
  <si>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</si>
  <si>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</si>
  <si>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</si>
  <si>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</si>
  <si>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</si>
  <si>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</si>
  <si>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</si>
  <si>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</si>
  <si>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</si>
  <si>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</si>
  <si>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</si>
  <si>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</si>
  <si>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</si>
  <si>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</si>
  <si>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</si>
  <si>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</si>
  <si>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</si>
  <si>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</si>
  <si>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</si>
  <si>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</si>
  <si>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</si>
  <si>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</si>
  <si>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</si>
  <si>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</si>
  <si>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</si>
  <si>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</si>
  <si>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</si>
  <si>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</si>
  <si>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</si>
  <si>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</si>
  <si>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</si>
  <si>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</si>
  <si>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</si>
  <si>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</si>
  <si>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</si>
  <si>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</si>
  <si>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</si>
  <si>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</si>
  <si>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</si>
  <si>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</si>
  <si>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</si>
  <si>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</si>
  <si>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</si>
  <si>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</si>
  <si>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</si>
  <si>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</si>
  <si>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</si>
  <si>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</si>
  <si>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</si>
  <si>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</si>
  <si>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</si>
  <si>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</si>
  <si>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</si>
  <si>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</si>
  <si>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</si>
  <si>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</si>
  <si>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</si>
  <si>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</si>
  <si>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</si>
  <si>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</si>
  <si>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</si>
  <si>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</si>
  <si>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</si>
  <si>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</si>
  <si>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</si>
  <si>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</si>
  <si>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</si>
  <si>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</si>
  <si>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</si>
  <si>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</si>
  <si>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</si>
  <si>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</si>
  <si>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</si>
  <si>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</si>
  <si>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</si>
  <si>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</si>
  <si>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</si>
  <si>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</si>
  <si>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</si>
  <si>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</si>
  <si>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</si>
  <si>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</si>
  <si>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</si>
  <si>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</si>
  <si>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</si>
  <si>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</si>
  <si>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</si>
  <si>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</si>
  <si>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</si>
  <si>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</si>
  <si>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</si>
  <si>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</si>
  <si>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</si>
  <si>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</si>
  <si>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</si>
  <si>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</si>
  <si>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</si>
  <si>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</si>
  <si>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</si>
  <si>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</si>
  <si>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</si>
  <si>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</si>
  <si>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</si>
  <si>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</si>
  <si>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</si>
  <si>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</si>
  <si>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</si>
  <si>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</si>
  <si>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</si>
  <si>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</si>
  <si>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</si>
  <si>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</si>
  <si>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</si>
  <si>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</si>
  <si>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</si>
  <si>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</si>
  <si>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</si>
  <si>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</si>
  <si>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</si>
  <si>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</si>
  <si>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</si>
  <si>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</si>
  <si>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</si>
  <si>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</si>
  <si>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</si>
  <si>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</si>
  <si>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</si>
  <si>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</si>
  <si>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</si>
  <si>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</si>
  <si>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</si>
  <si>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</si>
  <si>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</si>
  <si>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</si>
  <si>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</si>
  <si>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</si>
  <si>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</si>
  <si>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</si>
  <si>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</si>
  <si>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</si>
  <si>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</si>
  <si>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</si>
  <si>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</si>
  <si>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</si>
  <si>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</si>
  <si>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</si>
  <si>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</si>
  <si>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</si>
  <si>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</si>
  <si>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</si>
  <si>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</si>
  <si>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</si>
  <si>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</si>
  <si>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</si>
  <si>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</si>
  <si>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</si>
  <si>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</si>
  <si>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</si>
  <si>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</si>
  <si>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</si>
  <si>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</si>
  <si>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</si>
  <si>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</si>
  <si>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</si>
  <si>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</si>
  <si>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</si>
  <si>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</si>
  <si>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</si>
  <si>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</si>
  <si>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</si>
  <si>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</si>
  <si>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</si>
  <si>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</si>
  <si>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</si>
  <si>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</si>
  <si>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</si>
  <si>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</si>
  <si>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</si>
  <si>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</si>
  <si>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</si>
  <si>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</si>
  <si>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</si>
  <si>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</si>
  <si>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</si>
  <si>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</si>
  <si>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</si>
  <si>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</si>
  <si>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</si>
  <si>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</si>
  <si>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</si>
  <si>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</si>
  <si>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</si>
  <si>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</si>
  <si>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</si>
  <si>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</si>
  <si>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</si>
  <si>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</si>
  <si>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</si>
  <si>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</si>
  <si>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</si>
  <si>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</si>
  <si>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</si>
  <si>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</si>
  <si>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</si>
  <si>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</si>
  <si>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</si>
  <si>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</si>
  <si>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</si>
  <si>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</si>
  <si>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</si>
  <si>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</si>
  <si>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</si>
  <si>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</si>
  <si>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</si>
  <si>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</si>
  <si>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</si>
  <si>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</si>
  <si>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</si>
  <si>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</si>
  <si>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</si>
  <si>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</si>
  <si>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</si>
  <si>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</si>
  <si>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</si>
  <si>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</si>
  <si>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</si>
  <si>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</si>
  <si>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</si>
  <si>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</si>
  <si>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</si>
  <si>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</si>
  <si>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</si>
  <si>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</si>
  <si>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</si>
  <si>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</si>
  <si>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</si>
  <si>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</si>
  <si>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</si>
  <si>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</si>
  <si>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</si>
  <si>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</si>
  <si>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</si>
  <si>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</si>
  <si>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</si>
  <si>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</si>
  <si>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</si>
  <si>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</si>
  <si>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</si>
  <si>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</si>
  <si>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</si>
  <si>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</si>
  <si>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</si>
  <si>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</si>
  <si>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</si>
  <si>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</si>
  <si>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</si>
  <si>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</si>
  <si>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</si>
  <si>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</si>
  <si>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</si>
  <si>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</si>
  <si>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</si>
  <si>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</si>
  <si>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</si>
  <si>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</si>
  <si>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</si>
  <si>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</si>
  <si>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</si>
  <si>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</si>
  <si>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</si>
  <si>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</si>
  <si>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</si>
  <si>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</si>
  <si>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</si>
  <si>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</si>
  <si>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</si>
  <si>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</si>
  <si>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</si>
  <si>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</si>
  <si>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</si>
  <si>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</si>
  <si>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</si>
  <si>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</si>
  <si>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</si>
  <si>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</si>
  <si>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</si>
  <si>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</si>
  <si>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</si>
  <si>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</si>
  <si>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</si>
  <si>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</si>
  <si>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</si>
  <si>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</si>
  <si>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</si>
  <si>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</si>
  <si>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</si>
  <si>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</si>
  <si>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</si>
  <si>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</si>
  <si>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</si>
  <si>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</si>
  <si>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</si>
  <si>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</si>
  <si>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</si>
  <si>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</si>
  <si>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</si>
  <si>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</si>
  <si>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</si>
  <si>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</si>
  <si>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</si>
  <si>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</si>
  <si>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</si>
  <si>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</si>
  <si>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</si>
  <si>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</si>
  <si>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</si>
  <si>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</si>
  <si>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</si>
  <si>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</si>
  <si>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</si>
  <si>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</si>
  <si>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</si>
  <si>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</si>
  <si>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</si>
  <si>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</si>
  <si>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</si>
  <si>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</si>
  <si>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</si>
  <si>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</si>
  <si>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</si>
  <si>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</si>
  <si>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</si>
  <si>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</si>
  <si>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</si>
  <si>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</si>
  <si>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</si>
  <si>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</si>
  <si>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</si>
  <si>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</si>
  <si>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</si>
  <si>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</si>
  <si>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</si>
  <si>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</si>
  <si>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</si>
  <si>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</si>
  <si>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</si>
  <si>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</si>
  <si>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</si>
  <si>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</si>
  <si>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</si>
  <si>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</si>
  <si>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</si>
  <si>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</si>
  <si>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</si>
  <si>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</si>
  <si>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</si>
  <si>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</si>
  <si>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</si>
  <si>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</si>
  <si>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</si>
  <si>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</si>
  <si>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</si>
  <si>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</si>
  <si>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</si>
  <si>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</si>
  <si>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</si>
  <si>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</si>
  <si>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</si>
  <si>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</si>
  <si>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</si>
  <si>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</si>
  <si>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</si>
  <si>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</si>
  <si>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</si>
  <si>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</si>
  <si>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</si>
  <si>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</si>
  <si>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</si>
  <si>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</si>
  <si>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</si>
  <si>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</si>
  <si>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</si>
  <si>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</si>
  <si>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</si>
  <si>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</si>
  <si>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</si>
  <si>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</si>
  <si>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</si>
  <si>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</si>
  <si>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</si>
  <si>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</si>
  <si>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</si>
  <si>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</si>
  <si>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</si>
  <si>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</si>
  <si>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</si>
  <si>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</si>
  <si>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</si>
  <si>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</si>
  <si>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</si>
  <si>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</si>
  <si>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</si>
  <si>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</si>
  <si>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</si>
  <si>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</si>
  <si>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</si>
  <si>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</si>
  <si>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</si>
  <si>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</si>
  <si>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</si>
  <si>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</si>
  <si>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</si>
  <si>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</si>
  <si>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</si>
  <si>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</si>
  <si>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</si>
  <si>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</si>
  <si>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</si>
  <si>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</si>
  <si>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</si>
  <si>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</si>
  <si>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</si>
  <si>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</si>
  <si>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</si>
  <si>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</si>
  <si>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</si>
  <si>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</si>
  <si>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</si>
  <si>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</si>
  <si>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</si>
  <si>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</si>
  <si>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</si>
  <si>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</si>
  <si>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</si>
  <si>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</si>
  <si>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</si>
  <si>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</si>
  <si>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</si>
  <si>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</si>
  <si>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</si>
  <si>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</si>
  <si>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</si>
  <si>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</si>
  <si>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</si>
  <si>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</si>
  <si>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</si>
  <si>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</si>
  <si>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</si>
  <si>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</si>
  <si>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</si>
  <si>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</si>
  <si>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</si>
  <si>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</si>
  <si>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</si>
  <si>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</si>
  <si>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</si>
  <si>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</si>
  <si>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</si>
  <si>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</si>
  <si>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</si>
  <si>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</si>
  <si>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</si>
  <si>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</si>
  <si>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</si>
  <si>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</si>
  <si>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</si>
  <si>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</si>
  <si>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</si>
  <si>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</si>
  <si>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</si>
  <si>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</si>
  <si>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</si>
  <si>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</si>
  <si>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</si>
  <si>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</si>
  <si>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</si>
  <si>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</si>
  <si>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</si>
  <si>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</si>
  <si>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</si>
  <si>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</si>
  <si>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</si>
  <si>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</si>
  <si>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</si>
  <si>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</si>
  <si>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</si>
  <si>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</si>
  <si>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</si>
  <si>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</si>
  <si>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</si>
  <si>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</si>
  <si>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</si>
  <si>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</si>
  <si>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</si>
  <si>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</si>
  <si>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</si>
  <si>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</si>
  <si>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</si>
  <si>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</si>
  <si>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</si>
  <si>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</si>
  <si>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</si>
  <si>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</si>
  <si>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</si>
  <si>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</si>
  <si>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</si>
  <si>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</si>
  <si>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</si>
  <si>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</si>
  <si>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</si>
  <si>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</si>
  <si>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</si>
  <si>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</si>
  <si>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</si>
  <si>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</si>
  <si>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</si>
  <si>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</si>
  <si>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</si>
  <si>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</si>
  <si>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</si>
  <si>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</si>
  <si>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</si>
  <si>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</si>
  <si>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</si>
  <si>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</si>
  <si>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</si>
  <si>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</si>
  <si>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</si>
  <si>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</si>
  <si>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</si>
  <si>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</si>
  <si>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</si>
  <si>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</si>
  <si>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</si>
  <si>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</si>
  <si>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</si>
  <si>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</si>
  <si>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</si>
  <si>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</si>
  <si>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</si>
  <si>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</si>
  <si>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</si>
  <si>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</si>
  <si>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</si>
  <si>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</si>
  <si>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</si>
  <si>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</si>
  <si>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</si>
  <si>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</si>
  <si>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</si>
  <si>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</si>
  <si>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</si>
  <si>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</si>
  <si>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</si>
  <si>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</si>
  <si>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</si>
  <si>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</si>
  <si>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</si>
  <si>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</si>
  <si>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</si>
  <si>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</si>
  <si>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</si>
  <si>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</si>
  <si>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</si>
  <si>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</si>
  <si>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</si>
  <si>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</si>
  <si>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</si>
  <si>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</si>
  <si>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</si>
  <si>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</si>
  <si>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</si>
  <si>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</si>
  <si>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</si>
  <si>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</si>
  <si>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</si>
  <si>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</si>
  <si>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</si>
  <si>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</si>
  <si>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</si>
  <si>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</si>
  <si>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</si>
  <si>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</si>
  <si>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</si>
  <si>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</si>
  <si>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</si>
  <si>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</si>
  <si>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</si>
  <si>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</si>
  <si>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</si>
  <si>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</si>
  <si>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</si>
  <si>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</si>
  <si>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</si>
  <si>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</si>
  <si>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</si>
  <si>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</si>
  <si>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</si>
  <si>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</si>
  <si>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</si>
  <si>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</si>
  <si>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</si>
  <si>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</si>
  <si>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</si>
  <si>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</si>
  <si>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</si>
  <si>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</si>
  <si>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</si>
  <si>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</si>
  <si>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</si>
  <si>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</si>
  <si>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</si>
  <si>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</si>
  <si>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</si>
  <si>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</si>
  <si>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</si>
  <si>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</si>
  <si>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</si>
  <si>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</si>
  <si>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</si>
  <si>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</si>
  <si>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</si>
  <si>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</si>
  <si>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</si>
  <si>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</si>
  <si>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</si>
  <si>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</si>
  <si>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</si>
  <si>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</si>
  <si>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</si>
  <si>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</si>
  <si>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</si>
  <si>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</si>
  <si>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</si>
  <si>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</si>
  <si>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</si>
  <si>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</si>
  <si>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</si>
  <si>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</si>
  <si>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</si>
  <si>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</si>
  <si>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</si>
  <si>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</si>
  <si>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</si>
  <si>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</si>
  <si>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</si>
  <si>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</si>
  <si>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</si>
  <si>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</si>
  <si>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</si>
  <si>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</si>
  <si>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</si>
  <si>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</si>
  <si>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</si>
  <si>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</si>
  <si>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</si>
  <si>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</si>
  <si>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</si>
  <si>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</si>
  <si>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</si>
  <si>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</si>
  <si>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</si>
  <si>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</si>
  <si>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</si>
  <si>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</si>
  <si>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</si>
  <si>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</si>
  <si>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</si>
  <si>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</si>
  <si>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</si>
  <si>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</si>
  <si>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</si>
  <si>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</si>
  <si>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</si>
  <si>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</si>
  <si>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</si>
  <si>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</si>
  <si>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</si>
  <si>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</si>
  <si>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</si>
  <si>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</si>
  <si>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</si>
  <si>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</si>
  <si>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</si>
  <si>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</si>
  <si>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</si>
  <si>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</si>
  <si>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</si>
  <si>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</si>
  <si>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</si>
  <si>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</si>
  <si>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</si>
  <si>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</si>
  <si>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</si>
  <si>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</si>
  <si>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</si>
  <si>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</si>
  <si>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</si>
  <si>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</si>
  <si>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</si>
  <si>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</si>
  <si>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</si>
  <si>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</si>
  <si>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</si>
  <si>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</si>
  <si>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</si>
  <si>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</si>
  <si>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</si>
  <si>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</si>
  <si>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</si>
  <si>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</si>
  <si>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</si>
  <si>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</si>
  <si>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</si>
  <si>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</si>
  <si>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</si>
  <si>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</si>
  <si>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</si>
  <si>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</si>
  <si>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</si>
  <si>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</si>
  <si>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</si>
  <si>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</si>
  <si>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</si>
  <si>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</si>
  <si>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</si>
  <si>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</si>
  <si>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</si>
  <si>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</si>
  <si>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</si>
  <si>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</si>
  <si>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</si>
  <si>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</si>
  <si>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</si>
  <si>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</si>
  <si>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</si>
  <si>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</si>
  <si>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</si>
  <si>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</si>
  <si>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</si>
  <si>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</si>
  <si>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</si>
  <si>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</si>
  <si>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</si>
  <si>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</si>
  <si>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</si>
  <si>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</si>
  <si>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</si>
  <si>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</si>
  <si>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</si>
  <si>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</si>
  <si>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</si>
  <si>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</si>
  <si>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</si>
  <si>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</si>
  <si>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</si>
  <si>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</si>
  <si>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</si>
  <si>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</si>
  <si>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</si>
  <si>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</si>
  <si>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</si>
  <si>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</si>
  <si>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</si>
  <si>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</si>
  <si>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</si>
  <si>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</si>
  <si>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</si>
  <si>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</si>
  <si>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</si>
  <si>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</si>
  <si>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</si>
  <si>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</si>
  <si>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</si>
  <si>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</si>
  <si>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</si>
  <si>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</si>
  <si>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</si>
  <si>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</si>
  <si>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</si>
  <si>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</si>
  <si>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</si>
  <si>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</si>
  <si>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</si>
  <si>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</si>
  <si>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</si>
  <si>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</si>
  <si>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</si>
  <si>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</si>
  <si>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</si>
  <si>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</si>
  <si>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</si>
  <si>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</si>
  <si>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</si>
  <si>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</si>
  <si>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</si>
  <si>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</si>
  <si>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</si>
  <si>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</si>
  <si>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</si>
  <si>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</si>
  <si>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</si>
  <si>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</si>
  <si>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</si>
  <si>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</si>
  <si>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</si>
  <si>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</si>
  <si>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</si>
  <si>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</si>
  <si>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</si>
  <si>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</si>
  <si>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</si>
  <si>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</si>
  <si>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</si>
  <si>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</si>
  <si>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</si>
  <si>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</si>
  <si>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</si>
  <si>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</si>
  <si>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</si>
  <si>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</si>
  <si>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</si>
  <si>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</si>
  <si>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</si>
  <si>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</si>
  <si>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</si>
  <si>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</si>
  <si>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</si>
  <si>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</si>
  <si>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</si>
  <si>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</si>
  <si>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</si>
  <si>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</si>
  <si>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</si>
  <si>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</si>
  <si>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</si>
  <si>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</si>
  <si>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</si>
  <si>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</si>
  <si>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</si>
  <si>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</si>
  <si>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</si>
  <si>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</si>
  <si>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</si>
  <si>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</si>
  <si>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</si>
  <si>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</si>
  <si>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</si>
  <si>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</si>
  <si>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</si>
  <si>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</si>
  <si>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</si>
  <si>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</si>
  <si>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</si>
  <si>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</si>
  <si>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</si>
  <si>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</si>
  <si>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</si>
  <si>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</si>
  <si>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</si>
  <si>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</si>
  <si>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</si>
  <si>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</si>
  <si>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</si>
  <si>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</si>
  <si>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</si>
  <si>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</si>
  <si>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</si>
  <si>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</si>
  <si>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</si>
  <si>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</si>
  <si>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</si>
  <si>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</si>
  <si>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</si>
  <si>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</si>
  <si>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</si>
  <si>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</si>
  <si>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</si>
  <si>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</si>
  <si>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</si>
  <si>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</si>
  <si>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</si>
  <si>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</si>
  <si>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</si>
  <si>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</si>
  <si>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</si>
  <si>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</si>
  <si>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</si>
  <si>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</si>
  <si>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</si>
  <si>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</si>
  <si>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</si>
  <si>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</si>
  <si>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</si>
  <si>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</si>
  <si>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</si>
  <si>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</si>
  <si>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</si>
  <si>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</si>
  <si>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</si>
  <si>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</si>
  <si>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</si>
  <si>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</si>
  <si>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</si>
  <si>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</si>
  <si>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</si>
  <si>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</si>
  <si>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</si>
  <si>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</si>
  <si>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</si>
  <si>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</si>
  <si>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</si>
  <si>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</si>
  <si>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</si>
  <si>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</si>
  <si>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</si>
  <si>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</si>
  <si>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</si>
  <si>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</si>
  <si>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</si>
  <si>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</si>
  <si>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</si>
  <si>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</si>
  <si>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</si>
  <si>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</si>
  <si>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</si>
  <si>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</si>
  <si>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</si>
  <si>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</si>
  <si>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</si>
  <si>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</si>
  <si>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</si>
  <si>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</si>
  <si>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</si>
  <si>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</si>
  <si>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</si>
  <si>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</si>
  <si>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</si>
  <si>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</si>
  <si>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</si>
  <si>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</si>
  <si>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</si>
  <si>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</si>
  <si>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</si>
  <si>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</si>
  <si>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</si>
  <si>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</si>
  <si>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</si>
  <si>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</si>
  <si>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</si>
  <si>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</si>
  <si>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</si>
  <si>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</si>
  <si>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</si>
  <si>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</si>
  <si>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</si>
  <si>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</si>
  <si>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</si>
  <si>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</si>
  <si>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</si>
  <si>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</si>
  <si>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</si>
  <si>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</si>
  <si>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</si>
  <si>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</si>
  <si>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</si>
  <si>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</si>
  <si>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</si>
  <si>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</si>
  <si>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</si>
  <si>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</si>
  <si>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</si>
  <si>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</si>
  <si>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</si>
  <si>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</si>
  <si>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</si>
  <si>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</si>
  <si>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</si>
  <si>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</si>
  <si>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</si>
  <si>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</si>
  <si>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</si>
  <si>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</si>
  <si>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</si>
  <si>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</si>
  <si>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</si>
  <si>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</si>
  <si>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</si>
  <si>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</si>
  <si>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</si>
  <si>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</si>
  <si>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</si>
  <si>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</si>
  <si>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</si>
  <si>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</si>
  <si>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</si>
  <si>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</si>
  <si>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</si>
  <si>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</si>
  <si>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</si>
  <si>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</si>
  <si>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</si>
  <si>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</si>
  <si>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</si>
  <si>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</si>
  <si>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</si>
  <si>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</si>
  <si>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</si>
  <si>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</si>
  <si>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</si>
  <si>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</si>
  <si>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</si>
  <si>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</si>
  <si>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</si>
  <si>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</si>
  <si>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</si>
  <si>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</si>
  <si>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</si>
  <si>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</si>
  <si>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</si>
  <si>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</si>
  <si>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</si>
  <si>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</si>
  <si>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</si>
  <si>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</si>
  <si>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</si>
  <si>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</si>
  <si>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</si>
  <si>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</si>
  <si>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</si>
  <si>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</si>
  <si>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</si>
  <si>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</si>
  <si>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</si>
  <si>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</si>
  <si>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</si>
  <si>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</si>
  <si>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</si>
  <si>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</si>
  <si>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</si>
  <si>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</si>
  <si>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</si>
  <si>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</si>
  <si>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</si>
  <si>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</si>
  <si>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</si>
  <si>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</si>
  <si>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</si>
  <si>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</si>
  <si>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</si>
  <si>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</si>
  <si>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</si>
  <si>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</si>
  <si>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</si>
  <si>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</si>
  <si>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</si>
  <si>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</si>
  <si>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</si>
  <si>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</si>
  <si>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</si>
  <si>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</si>
  <si>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</si>
  <si>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</si>
  <si>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</si>
  <si>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</si>
  <si>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</si>
  <si>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</si>
  <si>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</si>
  <si>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</si>
  <si>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</si>
  <si>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</si>
  <si>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</si>
  <si>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</si>
  <si>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</si>
  <si>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</si>
  <si>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</si>
  <si>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</si>
  <si>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</si>
  <si>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</si>
  <si>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</si>
  <si>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</si>
  <si>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</si>
  <si>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</si>
  <si>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</si>
  <si>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</si>
  <si>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</si>
  <si>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</si>
  <si>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</si>
  <si>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</si>
  <si>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</si>
  <si>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</si>
  <si>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</si>
  <si>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</si>
  <si>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</si>
  <si>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</si>
  <si>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</si>
  <si>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</si>
  <si>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</si>
  <si>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</si>
  <si>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</si>
  <si>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</si>
  <si>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</si>
  <si>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</si>
  <si>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</si>
  <si>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</si>
  <si>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</si>
  <si>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</si>
  <si>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</si>
  <si>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</si>
  <si>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</si>
  <si>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</si>
  <si>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</si>
  <si>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</si>
  <si>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</si>
  <si>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</si>
  <si>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</si>
  <si>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</si>
  <si>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</si>
  <si>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</si>
  <si>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</si>
  <si>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</si>
  <si>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</si>
  <si>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</si>
  <si>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</si>
  <si>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</si>
  <si>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</si>
  <si>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</si>
  <si>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</si>
  <si>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</si>
  <si>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</si>
  <si>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</si>
  <si>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</si>
  <si>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</si>
  <si>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</si>
  <si>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</si>
  <si>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</si>
  <si>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</si>
  <si>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</si>
  <si>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</si>
  <si>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</si>
  <si>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</si>
  <si>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</si>
  <si>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</si>
  <si>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</si>
  <si>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</si>
  <si>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</si>
  <si>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</si>
  <si>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</si>
  <si>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</si>
  <si>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</si>
  <si>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</si>
  <si>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</si>
  <si>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</si>
  <si>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</si>
  <si>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</si>
  <si>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</si>
  <si>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</si>
  <si>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</si>
  <si>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</si>
  <si>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</si>
  <si>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</si>
  <si>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</si>
  <si>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</si>
  <si>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</si>
  <si>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</si>
  <si>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</si>
  <si>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</si>
  <si>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</si>
  <si>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</si>
  <si>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</si>
  <si>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</si>
  <si>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</si>
  <si>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</si>
  <si>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</si>
  <si>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</si>
  <si>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</si>
  <si>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</si>
  <si>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</si>
  <si>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</si>
  <si>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</si>
  <si>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</si>
  <si>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</si>
  <si>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</si>
  <si>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</si>
  <si>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</si>
  <si>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</si>
  <si>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</si>
  <si>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</si>
  <si>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</si>
  <si>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</si>
  <si>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</si>
  <si>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</si>
  <si>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</si>
  <si>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</si>
  <si>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</si>
  <si>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</si>
  <si>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</si>
  <si>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</si>
  <si>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</si>
  <si>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</si>
  <si>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</si>
  <si>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</si>
  <si>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</si>
  <si>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</si>
  <si>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</si>
  <si>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</si>
  <si>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</si>
  <si>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</si>
  <si>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</si>
  <si>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</si>
  <si>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</si>
  <si>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</si>
  <si>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</si>
  <si>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</si>
  <si>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</si>
  <si>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</si>
  <si>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</si>
  <si>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</si>
  <si>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</si>
  <si>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</si>
  <si>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</si>
  <si>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</si>
  <si>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</si>
  <si>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</si>
  <si>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</si>
  <si>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</si>
  <si>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</si>
  <si>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</si>
  <si>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</si>
  <si>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</si>
  <si>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</si>
  <si>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</si>
  <si>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</si>
  <si>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</si>
  <si>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</si>
  <si>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</si>
  <si>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</si>
  <si>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</si>
  <si>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</si>
  <si>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</si>
  <si>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</si>
  <si>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</si>
  <si>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</si>
  <si>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</si>
  <si>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</si>
  <si>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</si>
  <si>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</si>
  <si>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</si>
  <si>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</si>
  <si>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</si>
  <si>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</si>
  <si>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</si>
  <si>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</si>
  <si>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</si>
  <si>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</si>
  <si>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</si>
  <si>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</si>
  <si>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</si>
  <si>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</si>
  <si>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</si>
  <si>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</si>
  <si>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</si>
  <si>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</si>
  <si>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</si>
  <si>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</si>
  <si>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</si>
  <si>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</si>
  <si>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</si>
  <si>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</si>
  <si>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</si>
  <si>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</si>
  <si>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</si>
  <si>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</si>
  <si>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</si>
  <si>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</si>
  <si>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</si>
  <si>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</si>
  <si>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</si>
  <si>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</si>
  <si>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</si>
  <si>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</si>
  <si>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</si>
  <si>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</si>
  <si>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</si>
  <si>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</si>
  <si>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</si>
  <si>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</si>
  <si>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</si>
  <si>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</si>
  <si>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</si>
  <si>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</si>
  <si>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</si>
  <si>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</si>
  <si>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</si>
  <si>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</si>
  <si>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</si>
  <si>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</si>
  <si>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</si>
  <si>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</si>
  <si>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</si>
  <si>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</si>
  <si>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</si>
  <si>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</si>
  <si>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</si>
  <si>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</si>
  <si>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</si>
  <si>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</si>
  <si>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</si>
  <si>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</si>
  <si>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</si>
  <si>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</si>
  <si>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</si>
  <si>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</si>
  <si>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</si>
  <si>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</si>
  <si>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</si>
  <si>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</si>
  <si>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</si>
  <si>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</si>
  <si>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</si>
  <si>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</si>
  <si>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</si>
  <si>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</si>
  <si>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</si>
  <si>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</si>
  <si>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</si>
  <si>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</si>
  <si>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</si>
  <si>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</si>
  <si>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</si>
  <si>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</si>
  <si>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</si>
  <si>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</si>
  <si>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</si>
  <si>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</si>
  <si>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</si>
  <si>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</si>
  <si>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</si>
  <si>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</si>
  <si>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</si>
  <si>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</si>
  <si>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</si>
  <si>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</si>
  <si>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</si>
  <si>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</si>
  <si>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</si>
  <si>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</si>
  <si>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</si>
  <si>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</si>
  <si>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</si>
  <si>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</si>
  <si>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</si>
  <si>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</si>
  <si>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</si>
  <si>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</si>
  <si>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</si>
  <si>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</si>
  <si>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</si>
  <si>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</si>
  <si>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</si>
  <si>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</si>
  <si>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</si>
  <si>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</si>
  <si>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</si>
  <si>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</si>
  <si>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</si>
  <si>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</si>
  <si>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</si>
  <si>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</si>
  <si>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</si>
  <si>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</si>
  <si>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</si>
  <si>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</si>
  <si>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</si>
  <si>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</si>
  <si>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</si>
  <si>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</si>
  <si>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</si>
  <si>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</si>
  <si>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</si>
  <si>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</si>
  <si>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</si>
  <si>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</si>
  <si>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</si>
  <si>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</si>
  <si>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</si>
  <si>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</si>
  <si>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</si>
  <si>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</si>
  <si>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</si>
  <si>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</si>
  <si>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</si>
  <si>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</si>
  <si>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</si>
  <si>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</si>
  <si>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</si>
  <si>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</si>
  <si>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</si>
  <si>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</si>
  <si>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</si>
  <si>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</si>
  <si>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</si>
  <si>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</si>
  <si>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</si>
  <si>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</si>
  <si>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</si>
  <si>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</si>
  <si>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</si>
  <si>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</si>
  <si>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</si>
  <si>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</si>
  <si>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</si>
  <si>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</si>
  <si>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</si>
  <si>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</si>
  <si>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</si>
  <si>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</si>
  <si>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</si>
  <si>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</si>
  <si>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</si>
  <si>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</si>
  <si>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</si>
  <si>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</si>
  <si>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</si>
  <si>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</si>
  <si>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</si>
  <si>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</si>
  <si>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</si>
  <si>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</si>
  <si>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</si>
  <si>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</si>
  <si>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</si>
  <si>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</si>
  <si>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</si>
  <si>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</si>
  <si>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</si>
  <si>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</si>
  <si>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</si>
  <si>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</si>
  <si>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</si>
  <si>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</si>
  <si>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</si>
  <si>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</si>
  <si>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</si>
  <si>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</si>
  <si>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</si>
  <si>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</si>
  <si>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</si>
  <si>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</si>
  <si>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</si>
  <si>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</si>
  <si>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</si>
  <si>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</si>
  <si>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</si>
  <si>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</si>
  <si>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</si>
  <si>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</si>
  <si>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</si>
  <si>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</si>
  <si>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</si>
  <si>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</si>
  <si>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</si>
  <si>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</si>
  <si>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</si>
  <si>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</si>
  <si>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</si>
  <si>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</si>
  <si>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</si>
  <si>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</si>
  <si>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</si>
  <si>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</si>
  <si>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</si>
  <si>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</si>
  <si>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</si>
  <si>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</si>
  <si>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</si>
  <si>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</si>
  <si>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</si>
  <si>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</si>
  <si>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</si>
  <si>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</si>
  <si>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</si>
  <si>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</si>
  <si>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</si>
  <si>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</si>
  <si>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</si>
  <si>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</si>
  <si>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</si>
  <si>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</si>
  <si>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</si>
  <si>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</si>
  <si>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</si>
  <si>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</si>
  <si>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</si>
  <si>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</si>
  <si>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</si>
  <si>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</si>
  <si>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</si>
  <si>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</si>
  <si>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</si>
  <si>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</si>
  <si>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</si>
  <si>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</si>
  <si>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</si>
  <si>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</si>
  <si>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</si>
  <si>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</si>
  <si>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</si>
  <si>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</si>
  <si>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</si>
  <si>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</si>
  <si>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</si>
  <si>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</si>
  <si>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</si>
  <si>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</si>
  <si>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</si>
  <si>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</si>
  <si>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</si>
  <si>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</si>
  <si>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</si>
  <si>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</si>
  <si>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</si>
  <si>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</si>
  <si>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</si>
  <si>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</si>
  <si>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</si>
  <si>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</si>
  <si>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</si>
  <si>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</si>
  <si>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</si>
  <si>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</si>
  <si>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</si>
  <si>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</si>
  <si>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</si>
  <si>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</si>
  <si>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</si>
  <si>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</si>
  <si>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</si>
  <si>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</si>
  <si>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</si>
  <si>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</si>
  <si>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</si>
  <si>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</si>
  <si>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</si>
  <si>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</si>
  <si>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</si>
  <si>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</si>
  <si>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</si>
  <si>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</si>
  <si>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</si>
  <si>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</si>
  <si>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</si>
  <si>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</si>
  <si>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</si>
  <si>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</si>
  <si>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</si>
  <si>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</si>
  <si>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</si>
  <si>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</si>
  <si>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</si>
  <si>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</si>
  <si>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</si>
  <si>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</si>
  <si>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</si>
  <si>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</si>
  <si>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</si>
  <si>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</si>
  <si>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</si>
  <si>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</si>
  <si>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</si>
  <si>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</si>
  <si>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</si>
  <si>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</si>
  <si>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</si>
  <si>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</si>
  <si>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</si>
  <si>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</si>
  <si>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</si>
  <si>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</si>
  <si>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</si>
  <si>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</si>
  <si>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</si>
  <si>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</si>
  <si>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</si>
  <si>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</si>
  <si>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</si>
  <si>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</si>
  <si>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</si>
  <si>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</si>
  <si>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</si>
  <si>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</si>
  <si>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</si>
  <si>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</si>
  <si>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</si>
  <si>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</si>
  <si>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</si>
  <si>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</si>
  <si>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</si>
  <si>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</si>
  <si>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</si>
  <si>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</si>
  <si>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</si>
  <si>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</si>
  <si>
    <t>设定收益年期(n)</t>
  </si>
  <si>
    <t>否</t>
  </si>
  <si>
    <t>收益还原</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</si>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</sst>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184" fontId="56" fillId="15" borderId="1" xfId="0" applyNumberFormat="1" applyFont="1" applyFill="1" applyBorder="1" applyAlignment="1" applyProtection="1">
      <alignment horizontal="left" vertical="center" shrinkToFit="1"/>
      <protection locked="0"/>
    </xf>
    <xf numFmtId="10" fontId="39" fillId="15" borderId="58"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634</xdr:colOff>
      <xdr:row>28</xdr:row>
      <xdr:rowOff>122375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5834" cy="5243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6" customWidth="1"/>
    <col min="2" max="2" width="94.88671875" style="1172" customWidth="1"/>
    <col min="3" max="16384" width="9" style="1182"/>
  </cols>
  <sheetData>
    <row r="1" spans="1:2" s="1177" customFormat="1" ht="16.2" thickBot="1">
      <c r="A1" s="1175" t="s">
        <v>1038</v>
      </c>
      <c r="B1" s="1176" t="s">
        <v>1100</v>
      </c>
    </row>
    <row r="2" spans="1:2" s="1179" customFormat="1" ht="16.2"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6.2" thickBot="1">
      <c r="A5" s="1181" t="s">
        <v>1042</v>
      </c>
      <c r="B5" s="1166" t="str">
        <f>'预评函-封皮'!B21</f>
        <v>康正预评字号</v>
      </c>
    </row>
    <row r="6" spans="1:2" s="1179" customFormat="1" ht="16.2"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6.2" thickBot="1">
      <c r="A15" s="1181" t="s">
        <v>1052</v>
      </c>
      <c r="B15" s="1168" t="str">
        <f>'预评函-1'!A18</f>
        <v>本次评估采用的主估价方法为比较法和收益法。</v>
      </c>
    </row>
    <row r="16" spans="1:2" ht="16.2"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1138</v>
      </c>
    </row>
    <row r="20" spans="1:2">
      <c r="A20" s="1180" t="s">
        <v>1094</v>
      </c>
      <c r="B20" s="1167" t="str">
        <f>'预评函-2（1）'!C7</f>
        <v>总价（万元）</v>
      </c>
    </row>
    <row r="21" spans="1:2">
      <c r="A21" s="1180" t="s">
        <v>1057</v>
      </c>
      <c r="B21" s="1167">
        <f ca="1">'预评函-2（1）'!D9</f>
        <v>28925</v>
      </c>
    </row>
    <row r="22" spans="1:2">
      <c r="A22" s="1180" t="s">
        <v>1058</v>
      </c>
      <c r="B22" s="1167" t="str">
        <f ca="1">'预评函-2（1）'!D8</f>
        <v>壹仟壹佰叁拾捌万元整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1138</v>
      </c>
    </row>
    <row r="30" spans="1:2">
      <c r="A30" s="1180" t="s">
        <v>1064</v>
      </c>
      <c r="B30" s="1167" t="str">
        <f ca="1">'预评函-2（1）'!D16</f>
        <v>壹仟壹佰叁拾捌万元整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6.2" thickBot="1">
      <c r="A42" s="1181" t="s">
        <v>1076</v>
      </c>
      <c r="B42" s="1169" t="str">
        <f>'预评函-2（2）'!F5</f>
        <v>零元整</v>
      </c>
    </row>
    <row r="43" spans="1:2" ht="16.2"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ht="16.2" thickBot="1">
      <c r="A51" s="1181" t="s">
        <v>1084</v>
      </c>
      <c r="B51" s="1174">
        <f>'预评函-3'!D29</f>
        <v>42551</v>
      </c>
    </row>
    <row r="52" spans="1:2" ht="16.2" thickTop="1">
      <c r="A52" s="1178" t="s">
        <v>1085</v>
      </c>
      <c r="B52" s="1173">
        <f>'预评函-3'!A4</f>
        <v>0</v>
      </c>
    </row>
    <row r="53" spans="1:2">
      <c r="A53" s="1180" t="s">
        <v>1086</v>
      </c>
      <c r="B53" s="1167">
        <f>'预评函-3'!B4</f>
        <v>0</v>
      </c>
    </row>
    <row r="54" spans="1:2">
      <c r="A54" s="1180" t="s">
        <v>1087</v>
      </c>
      <c r="B54" s="1171">
        <f>'预评函-3'!A5</f>
        <v>0</v>
      </c>
    </row>
    <row r="55" spans="1:2" s="1177" customFormat="1" ht="16.2" thickBot="1">
      <c r="A55" s="1181" t="s">
        <v>1088</v>
      </c>
      <c r="B55" s="1169">
        <f>'预评函-3'!B5</f>
        <v>0</v>
      </c>
    </row>
    <row r="56" spans="1:2" ht="16.2" thickTop="1">
      <c r="A56" s="1183" t="s">
        <v>1097</v>
      </c>
      <c r="B56" s="1167" t="str">
        <f>'预评函-2（1）'!B15</f>
        <v>3.房地产抵押价值</v>
      </c>
    </row>
    <row r="57" spans="1:2">
      <c r="A57" s="1183" t="s">
        <v>1098</v>
      </c>
      <c r="B57" s="1167" t="str">
        <f>'预评函-2（1）'!B18</f>
        <v>——</v>
      </c>
    </row>
    <row r="58" spans="1:2" s="1177" customFormat="1" ht="16.2" thickBot="1">
      <c r="A58" s="1184" t="s">
        <v>1099</v>
      </c>
      <c r="B58" s="1168" t="str">
        <f>'预评函-2（1）'!B21</f>
        <v>——</v>
      </c>
    </row>
    <row r="59" spans="1:2" ht="16.2"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31.2">
      <c r="A62" s="1183" t="s">
        <v>1187</v>
      </c>
      <c r="B62" s="1167">
        <f ca="1">'预评函-2（1）'!D38</f>
        <v>28925</v>
      </c>
    </row>
    <row r="63" spans="1:2" s="1179" customFormat="1" ht="31.2">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6.2" thickBot="1">
      <c r="A67" s="1184" t="s">
        <v>1114</v>
      </c>
      <c r="B67" s="1168" t="str">
        <f>'预评函-2（2）'!A12</f>
        <v/>
      </c>
    </row>
    <row r="68" spans="1:2" ht="16.2"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8" thickBot="1">
      <c r="A1" s="2559" t="s">
        <v>1471</v>
      </c>
      <c r="B1" s="2560" t="str">
        <f>IF(B6="北京市","北京市",C6)&amp;IF(E12="房屋所有权证",B29,E29)&amp;D5&amp;"预评估"</f>
        <v>北京市房地产抵押价值预评估</v>
      </c>
      <c r="C1" s="823"/>
      <c r="D1" s="823"/>
      <c r="E1" s="823"/>
      <c r="F1" s="1395" t="s">
        <v>1472</v>
      </c>
      <c r="G1" s="1161"/>
      <c r="I1" s="2886" t="str">
        <f>IF(B6="北京市","北京市",C6)&amp;IF(E12="房屋所有权证",B29,E29)&amp;"房地产"</f>
        <v>北京市房地产</v>
      </c>
      <c r="J1" s="800"/>
      <c r="K1" s="2888"/>
      <c r="L1" s="2888"/>
      <c r="M1" s="2888"/>
      <c r="N1" s="800"/>
      <c r="O1" s="800"/>
      <c r="P1" s="800"/>
      <c r="Q1" s="800"/>
    </row>
    <row r="2" spans="1:17" ht="13.8" thickTop="1">
      <c r="A2" s="1396" t="s">
        <v>1473</v>
      </c>
      <c r="B2" s="2561"/>
      <c r="C2" s="2858" t="s">
        <v>1474</v>
      </c>
      <c r="D2" s="2561">
        <v>44561</v>
      </c>
      <c r="E2" s="824"/>
      <c r="F2" s="824"/>
      <c r="G2" s="1162"/>
      <c r="H2" s="2870"/>
    </row>
    <row r="3" spans="1:17" ht="13.8" thickBot="1">
      <c r="A3" s="2562" t="s">
        <v>1475</v>
      </c>
      <c r="B3" s="2563"/>
      <c r="C3" s="2564">
        <f>SUMIF(注册房地产估价师,B3,估价师及机构信息!B3:B16)</f>
        <v>0</v>
      </c>
      <c r="D3" s="2563"/>
      <c r="E3" s="2565">
        <f>SUMIF(注册房地产估价师,D3,估价师及机构信息!B3:B16)</f>
        <v>0</v>
      </c>
      <c r="F3" s="825"/>
      <c r="G3" s="1163"/>
      <c r="H3" s="2870"/>
    </row>
    <row r="4" spans="1:17" ht="13.5" customHeight="1" thickTop="1">
      <c r="A4" s="1396" t="s">
        <v>1476</v>
      </c>
      <c r="B4" s="1397" t="s">
        <v>2662</v>
      </c>
      <c r="C4" s="2859" t="s">
        <v>1477</v>
      </c>
      <c r="D4" s="1398" t="s">
        <v>2984</v>
      </c>
      <c r="E4" s="824"/>
      <c r="F4" s="824"/>
      <c r="G4" s="1162"/>
    </row>
    <row r="5" spans="1:17" ht="24">
      <c r="A5" s="1399" t="s">
        <v>1478</v>
      </c>
      <c r="B5" s="1400" t="s">
        <v>2663</v>
      </c>
      <c r="C5" s="2860" t="s">
        <v>1479</v>
      </c>
      <c r="D5" s="1402" t="s">
        <v>2982</v>
      </c>
      <c r="E5" s="2861" t="s">
        <v>1480</v>
      </c>
      <c r="F5" s="1402" t="s">
        <v>2982</v>
      </c>
      <c r="G5" s="1403"/>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6" t="s">
        <v>2980</v>
      </c>
      <c r="C6" s="2567" t="s">
        <v>2664</v>
      </c>
      <c r="D6" s="2568" t="s">
        <v>1482</v>
      </c>
      <c r="E6" s="811"/>
      <c r="F6" s="811"/>
      <c r="G6" s="830"/>
      <c r="I6" s="800" t="str">
        <f>IF(COUNTIF(B5,"*上海银行*"),"上海银行","")</f>
        <v/>
      </c>
      <c r="J6" s="800"/>
      <c r="K6" s="2888"/>
      <c r="L6" s="2888"/>
      <c r="M6" s="2888"/>
      <c r="N6" s="800"/>
      <c r="O6" s="800"/>
      <c r="P6" s="800"/>
      <c r="Q6" s="800"/>
    </row>
    <row r="7" spans="1:17" ht="13.8" thickBot="1">
      <c r="A7" s="2863" t="s">
        <v>1483</v>
      </c>
      <c r="B7" s="2569" t="s">
        <v>2981</v>
      </c>
      <c r="C7" s="1494" t="str">
        <f>IF(B7="自然人","姓名","名称")</f>
        <v>名称</v>
      </c>
      <c r="D7" s="1407" t="s">
        <v>2663</v>
      </c>
      <c r="E7" s="825"/>
      <c r="F7" s="825"/>
      <c r="G7" s="1163"/>
    </row>
    <row r="8" spans="1:17" ht="13.8" thickTop="1">
      <c r="A8" s="3386" t="s">
        <v>1484</v>
      </c>
      <c r="B8" s="1408" t="s">
        <v>1485</v>
      </c>
      <c r="C8" s="3398"/>
      <c r="D8" s="3399"/>
      <c r="E8" s="2570" t="s">
        <v>1486</v>
      </c>
      <c r="F8" s="2571" t="s">
        <v>1487</v>
      </c>
      <c r="G8" s="2572" t="str">
        <f>C6</f>
        <v>XX</v>
      </c>
    </row>
    <row r="9" spans="1:17" ht="26.4">
      <c r="A9" s="3386"/>
      <c r="B9" s="259" t="s">
        <v>1488</v>
      </c>
      <c r="C9" s="1400"/>
      <c r="D9" s="1409" t="s">
        <v>2983</v>
      </c>
      <c r="E9" s="2864" t="s">
        <v>1489</v>
      </c>
      <c r="F9" s="2573"/>
      <c r="G9" s="2574"/>
    </row>
    <row r="10" spans="1:17" ht="13.8" thickBot="1">
      <c r="A10" s="3386"/>
      <c r="B10" s="259" t="s">
        <v>1490</v>
      </c>
      <c r="C10" s="3400"/>
      <c r="D10" s="3401"/>
      <c r="E10" s="2865" t="s">
        <v>1491</v>
      </c>
      <c r="F10" s="2575"/>
      <c r="G10" s="2576"/>
    </row>
    <row r="11" spans="1:17" ht="13.8" thickBot="1">
      <c r="A11" s="3386"/>
      <c r="B11" s="1411" t="s">
        <v>1492</v>
      </c>
      <c r="C11" s="3402"/>
      <c r="D11" s="3403"/>
      <c r="E11" s="811"/>
      <c r="F11" s="811"/>
      <c r="G11" s="830"/>
    </row>
    <row r="12" spans="1:17" ht="13.8" thickBot="1">
      <c r="A12" s="3389" t="s">
        <v>2771</v>
      </c>
      <c r="B12" s="2866" t="s">
        <v>1493</v>
      </c>
      <c r="C12" s="808">
        <f>125.51+114.18+153.74</f>
        <v>393.43</v>
      </c>
      <c r="D12" s="1412" t="s">
        <v>1494</v>
      </c>
      <c r="E12" s="1413"/>
      <c r="F12" s="1414"/>
      <c r="G12" s="830"/>
    </row>
    <row r="13" spans="1:17" ht="21" customHeight="1" thickBot="1">
      <c r="A13" s="3390"/>
      <c r="B13" s="2867" t="s">
        <v>1495</v>
      </c>
      <c r="C13" s="809"/>
      <c r="D13" s="1415" t="s">
        <v>1496</v>
      </c>
      <c r="E13" s="1416"/>
      <c r="F13" s="811"/>
      <c r="G13" s="830"/>
      <c r="I13" s="3375"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8" thickBot="1">
      <c r="A14" s="2577"/>
      <c r="B14" s="2881" t="s">
        <v>2772</v>
      </c>
      <c r="C14" s="2578"/>
      <c r="D14" s="811"/>
      <c r="E14" s="811"/>
      <c r="F14" s="811"/>
      <c r="G14" s="830"/>
      <c r="I14" s="3375"/>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8" thickBot="1">
      <c r="A15" s="2579"/>
      <c r="B15" s="2868" t="s">
        <v>1498</v>
      </c>
      <c r="C15" s="826"/>
      <c r="D15" s="825"/>
      <c r="E15" s="825"/>
      <c r="F15" s="825"/>
      <c r="G15" s="1163"/>
      <c r="I15" s="3375"/>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2" thickTop="1" thickBot="1">
      <c r="A16" s="2577" t="s">
        <v>1499</v>
      </c>
      <c r="B16" s="1417" t="s">
        <v>1500</v>
      </c>
      <c r="C16" s="2580"/>
      <c r="D16" s="1410" t="s">
        <v>1501</v>
      </c>
      <c r="E16" s="2581"/>
      <c r="F16" s="1418" t="str">
        <f>IF(AND(C16="是",E16="否"),"是否提供他项权证或相关说明","")</f>
        <v/>
      </c>
      <c r="G16" s="2581"/>
      <c r="J16" s="2870"/>
    </row>
    <row r="17" spans="1:66" ht="13.5" customHeight="1">
      <c r="A17" s="1424" t="s">
        <v>1502</v>
      </c>
      <c r="B17" s="3404" t="s">
        <v>1503</v>
      </c>
      <c r="C17" s="3405"/>
      <c r="D17" s="3406" t="s">
        <v>1504</v>
      </c>
      <c r="E17" s="3407"/>
      <c r="F17" s="1419" t="s">
        <v>1505</v>
      </c>
      <c r="G17" s="1420"/>
      <c r="J17" s="2870"/>
    </row>
    <row r="18" spans="1:66" ht="24">
      <c r="A18" s="1424"/>
      <c r="B18" s="2582"/>
      <c r="C18" s="1403"/>
      <c r="D18" s="1421" t="s">
        <v>1506</v>
      </c>
      <c r="E18" s="1422"/>
      <c r="F18" s="1423"/>
      <c r="G18" s="1286"/>
      <c r="H18" s="2870"/>
      <c r="J18" s="2870"/>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3"/>
      <c r="D21" s="1424" t="s">
        <v>1509</v>
      </c>
      <c r="E21" s="2588"/>
      <c r="F21" s="811"/>
      <c r="G21" s="1286"/>
    </row>
    <row r="22" spans="1:66">
      <c r="A22" s="1286"/>
      <c r="B22" s="811" t="s">
        <v>1510</v>
      </c>
      <c r="C22" s="2589"/>
      <c r="D22" s="811" t="s">
        <v>1510</v>
      </c>
      <c r="E22" s="2588"/>
      <c r="F22" s="811"/>
      <c r="G22" s="1286"/>
    </row>
    <row r="23" spans="1:66" s="2852" customFormat="1" ht="16.2" thickBot="1">
      <c r="A23" s="1287"/>
      <c r="B23" s="829" t="s">
        <v>1511</v>
      </c>
      <c r="C23" s="809"/>
      <c r="D23" s="829" t="s">
        <v>1512</v>
      </c>
      <c r="E23" s="2590"/>
      <c r="F23" s="829"/>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5" t="s">
        <v>2770</v>
      </c>
      <c r="B24" s="3385"/>
      <c r="C24" s="3385"/>
      <c r="D24" s="3385"/>
      <c r="E24" s="3385"/>
      <c r="F24" s="3385"/>
      <c r="G24" s="3385"/>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4" thickTop="1" thickBot="1">
      <c r="A25" s="828" t="s">
        <v>1513</v>
      </c>
      <c r="B25" s="811"/>
      <c r="C25" s="811"/>
      <c r="D25" s="811"/>
      <c r="E25" s="811"/>
      <c r="F25" s="811"/>
      <c r="G25" s="1287"/>
      <c r="K25" s="2871"/>
    </row>
    <row r="26" spans="1:66" s="836" customFormat="1" ht="13.8" thickBot="1">
      <c r="A26" s="2591"/>
      <c r="B26" s="807" t="s">
        <v>1514</v>
      </c>
      <c r="C26" s="2591"/>
      <c r="D26" s="807"/>
      <c r="E26" s="2592" t="s">
        <v>1515</v>
      </c>
      <c r="F26" s="2591"/>
      <c r="G26" s="2593"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8" thickBot="1">
      <c r="A27" s="2591"/>
      <c r="B27" s="2594"/>
      <c r="C27" s="2591"/>
      <c r="D27" s="807"/>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92" t="s">
        <v>1517</v>
      </c>
      <c r="D28" s="3393"/>
      <c r="E28" s="801"/>
      <c r="F28" s="803" t="s">
        <v>1517</v>
      </c>
      <c r="G28" s="801"/>
      <c r="K28" s="2871"/>
    </row>
    <row r="29" spans="1:66">
      <c r="A29" s="804" t="s">
        <v>1518</v>
      </c>
      <c r="B29" s="798"/>
      <c r="C29" s="3394" t="s">
        <v>1519</v>
      </c>
      <c r="D29" s="3395"/>
      <c r="E29" s="798"/>
      <c r="F29" s="804" t="s">
        <v>1519</v>
      </c>
      <c r="G29" s="798"/>
      <c r="K29" s="2871"/>
    </row>
    <row r="30" spans="1:66">
      <c r="A30" s="804" t="s">
        <v>1520</v>
      </c>
      <c r="B30" s="798"/>
      <c r="C30" s="3394" t="s">
        <v>1520</v>
      </c>
      <c r="D30" s="3395"/>
      <c r="E30" s="798"/>
      <c r="F30" s="804" t="s">
        <v>1521</v>
      </c>
      <c r="G30" s="798"/>
      <c r="K30" s="2871"/>
    </row>
    <row r="31" spans="1:66">
      <c r="A31" s="804" t="s">
        <v>1522</v>
      </c>
      <c r="B31" s="798"/>
      <c r="C31" s="3382" t="s">
        <v>1523</v>
      </c>
      <c r="D31" s="811"/>
      <c r="E31" s="2596" t="str">
        <f>E32&amp;" "&amp;E33&amp;" "&amp;E34&amp;" "&amp;E35</f>
        <v xml:space="preserve">   </v>
      </c>
      <c r="F31" s="804" t="s">
        <v>1524</v>
      </c>
      <c r="G31" s="798"/>
    </row>
    <row r="32" spans="1:66">
      <c r="A32" s="804" t="s">
        <v>1525</v>
      </c>
      <c r="B32" s="798"/>
      <c r="C32" s="3383"/>
      <c r="D32" s="259" t="s">
        <v>1526</v>
      </c>
      <c r="E32" s="798"/>
      <c r="F32" s="804" t="s">
        <v>1527</v>
      </c>
      <c r="G32" s="798"/>
    </row>
    <row r="33" spans="1:7" ht="24.6" thickBot="1">
      <c r="A33" s="805" t="s">
        <v>1528</v>
      </c>
      <c r="B33" s="802"/>
      <c r="C33" s="3383"/>
      <c r="D33" s="259" t="s">
        <v>1529</v>
      </c>
      <c r="E33" s="798"/>
      <c r="F33" s="804" t="s">
        <v>1530</v>
      </c>
      <c r="G33" s="798"/>
    </row>
    <row r="34" spans="1:7">
      <c r="A34" s="803" t="s">
        <v>1531</v>
      </c>
      <c r="B34" s="801"/>
      <c r="C34" s="3383"/>
      <c r="D34" s="259" t="s">
        <v>1532</v>
      </c>
      <c r="E34" s="798"/>
      <c r="F34" s="804" t="s">
        <v>1533</v>
      </c>
      <c r="G34" s="798"/>
    </row>
    <row r="35" spans="1:7" ht="13.8" thickBot="1">
      <c r="A35" s="804" t="s">
        <v>1534</v>
      </c>
      <c r="B35" s="798"/>
      <c r="C35" s="3384"/>
      <c r="D35" s="259" t="s">
        <v>1535</v>
      </c>
      <c r="E35" s="798"/>
      <c r="F35" s="805" t="s">
        <v>1536</v>
      </c>
      <c r="G35" s="2597"/>
    </row>
    <row r="36" spans="1:7">
      <c r="A36" s="804" t="s">
        <v>1493</v>
      </c>
      <c r="B36" s="798"/>
      <c r="C36" s="3394" t="s">
        <v>1537</v>
      </c>
      <c r="D36" s="3395"/>
      <c r="E36" s="798"/>
      <c r="F36" s="2598" t="s">
        <v>1538</v>
      </c>
      <c r="G36" s="801"/>
    </row>
    <row r="37" spans="1:7" ht="24.6" thickBot="1">
      <c r="A37" s="804" t="s">
        <v>1539</v>
      </c>
      <c r="B37" s="798"/>
      <c r="C37" s="3396" t="s">
        <v>1540</v>
      </c>
      <c r="D37" s="3397"/>
      <c r="E37" s="802"/>
      <c r="F37" s="1432" t="s">
        <v>1541</v>
      </c>
      <c r="G37" s="798"/>
    </row>
    <row r="38" spans="1:7" ht="13.8" thickBot="1">
      <c r="A38" s="804" t="s">
        <v>1542</v>
      </c>
      <c r="B38" s="798"/>
      <c r="C38" s="3380" t="s">
        <v>1543</v>
      </c>
      <c r="D38" s="1412" t="s">
        <v>1527</v>
      </c>
      <c r="E38" s="801"/>
      <c r="F38" s="805" t="s">
        <v>1544</v>
      </c>
      <c r="G38" s="802"/>
    </row>
    <row r="39" spans="1:7">
      <c r="A39" s="804" t="s">
        <v>1545</v>
      </c>
      <c r="B39" s="798"/>
      <c r="C39" s="3387"/>
      <c r="D39" s="259" t="s">
        <v>1534</v>
      </c>
      <c r="E39" s="798"/>
      <c r="F39" s="803" t="s">
        <v>1546</v>
      </c>
      <c r="G39" s="801"/>
    </row>
    <row r="40" spans="1:7">
      <c r="A40" s="804" t="s">
        <v>1547</v>
      </c>
      <c r="B40" s="798"/>
      <c r="C40" s="3387" t="s">
        <v>1548</v>
      </c>
      <c r="D40" s="259" t="s">
        <v>1493</v>
      </c>
      <c r="E40" s="798"/>
      <c r="F40" s="804" t="s">
        <v>1549</v>
      </c>
      <c r="G40" s="798"/>
    </row>
    <row r="41" spans="1:7" ht="24.75" customHeight="1" thickBot="1">
      <c r="A41" s="805" t="s">
        <v>1550</v>
      </c>
      <c r="B41" s="802"/>
      <c r="C41" s="3388"/>
      <c r="D41" s="1415" t="s">
        <v>1495</v>
      </c>
      <c r="E41" s="802"/>
      <c r="F41" s="805" t="s">
        <v>1551</v>
      </c>
      <c r="G41" s="802"/>
    </row>
    <row r="42" spans="1:7" ht="24">
      <c r="A42" s="806" t="s">
        <v>1552</v>
      </c>
      <c r="B42" s="2599"/>
      <c r="C42" s="3376" t="s">
        <v>1552</v>
      </c>
      <c r="D42" s="3377"/>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8" thickBot="1">
      <c r="A49" s="805" t="s">
        <v>1555</v>
      </c>
      <c r="B49" s="802"/>
      <c r="C49" s="3378" t="s">
        <v>1555</v>
      </c>
      <c r="D49" s="3379"/>
      <c r="E49" s="820"/>
      <c r="F49" s="805" t="s">
        <v>1556</v>
      </c>
      <c r="G49" s="802"/>
    </row>
    <row r="50" spans="1:66">
      <c r="A50" s="804" t="s">
        <v>1557</v>
      </c>
      <c r="B50" s="819"/>
      <c r="C50" s="3380" t="s">
        <v>1558</v>
      </c>
      <c r="D50" s="3381"/>
      <c r="E50" s="2601"/>
      <c r="F50" s="837"/>
      <c r="G50" s="838"/>
    </row>
    <row r="51" spans="1:66" ht="13.8" thickBot="1">
      <c r="A51" s="804" t="s">
        <v>1559</v>
      </c>
      <c r="B51" s="819"/>
      <c r="C51" s="3388" t="s">
        <v>1560</v>
      </c>
      <c r="D51" s="3391"/>
      <c r="E51" s="802"/>
      <c r="F51" s="811"/>
      <c r="G51" s="830"/>
    </row>
    <row r="52" spans="1:66">
      <c r="A52" s="804" t="s">
        <v>1538</v>
      </c>
      <c r="B52" s="798"/>
      <c r="C52" s="811"/>
      <c r="D52" s="811"/>
      <c r="E52" s="811"/>
      <c r="F52" s="811"/>
      <c r="G52" s="830"/>
    </row>
    <row r="53" spans="1:66" ht="24.6" thickBot="1">
      <c r="A53" s="805" t="s">
        <v>1561</v>
      </c>
      <c r="B53" s="2597"/>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46.8">
      <c r="A3" s="3408"/>
      <c r="B3" s="3408"/>
      <c r="C3" s="3408"/>
      <c r="D3" s="3409"/>
      <c r="E3" s="340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3" sqref="I43"/>
    </sheetView>
  </sheetViews>
  <sheetFormatPr defaultColWidth="13.77734375" defaultRowHeight="13.2"/>
  <cols>
    <col min="1" max="1" width="20.88671875" style="2656" customWidth="1"/>
    <col min="2" max="2" width="16.77734375" style="2603" customWidth="1"/>
    <col min="3" max="3" width="18.21875" style="2642" customWidth="1"/>
    <col min="4" max="4" width="34.109375" style="2657" customWidth="1"/>
    <col min="5" max="5" width="17.6640625" style="2657" customWidth="1"/>
    <col min="6" max="6" width="15.44140625" style="2602" customWidth="1"/>
    <col min="7" max="8" width="9.109375" style="2935" customWidth="1"/>
    <col min="9" max="9" width="15" style="2642" bestFit="1" customWidth="1"/>
    <col min="10" max="14" width="8.88671875" style="2642" customWidth="1"/>
    <col min="15" max="16" width="12.33203125" style="2642" customWidth="1"/>
    <col min="17" max="17" width="8.6640625" style="2642" customWidth="1"/>
    <col min="18" max="18" width="12.44140625" style="2642" customWidth="1"/>
    <col min="19" max="19" width="8.44140625" style="2642" customWidth="1"/>
    <col min="20" max="21" width="10.88671875" style="2642" customWidth="1"/>
    <col min="22" max="23" width="12.44140625" style="2642" customWidth="1"/>
    <col min="24" max="24" width="12.109375" style="2642" customWidth="1"/>
    <col min="25" max="25" width="7.44140625" style="2642" customWidth="1"/>
    <col min="26" max="26" width="6.33203125" style="2642" customWidth="1"/>
    <col min="27" max="32" width="6.77734375" style="2642" customWidth="1"/>
    <col min="33" max="33" width="6.44140625" style="2642" customWidth="1"/>
    <col min="34" max="36" width="7.21875" style="2642" customWidth="1"/>
    <col min="37" max="41" width="8" style="2642" customWidth="1"/>
    <col min="42" max="16384" width="13.77734375" style="2603"/>
  </cols>
  <sheetData>
    <row r="1" spans="1:41" ht="18" thickBot="1">
      <c r="A1" s="2889" t="s">
        <v>1562</v>
      </c>
      <c r="B1" s="947"/>
      <c r="D1" s="2602"/>
      <c r="E1" s="2602"/>
    </row>
    <row r="2" spans="1:41" s="2606" customFormat="1" ht="15" thickBot="1">
      <c r="A2" s="2890" t="s">
        <v>1563</v>
      </c>
      <c r="B2" s="2891">
        <f>项目基本情况!D2</f>
        <v>44561</v>
      </c>
      <c r="C2" s="1654"/>
      <c r="D2" s="3410" t="s">
        <v>1564</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2985</v>
      </c>
      <c r="C3" s="1654"/>
      <c r="D3" s="3411"/>
      <c r="E3" s="2608" t="s">
        <v>3002</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2986</v>
      </c>
      <c r="C4" s="1654"/>
      <c r="D4" s="3411"/>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 thickBot="1">
      <c r="A5" s="2609" t="s">
        <v>1567</v>
      </c>
      <c r="B5" s="2610">
        <f>项目基本情况!C12</f>
        <v>393.43</v>
      </c>
      <c r="C5" s="1654"/>
      <c r="D5" s="2892" t="s">
        <v>1568</v>
      </c>
      <c r="E5" s="2611">
        <v>125.51</v>
      </c>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 thickBot="1">
      <c r="A6" s="2612" t="s">
        <v>1569</v>
      </c>
      <c r="B6" s="2613">
        <f>项目基本情况!C13</f>
        <v>0</v>
      </c>
      <c r="C6" s="1654"/>
      <c r="D6" s="2892" t="s">
        <v>1570</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4.4" thickBot="1">
      <c r="A7" s="2938"/>
      <c r="D7" s="2939"/>
      <c r="E7" s="2939"/>
      <c r="F7" s="2936"/>
      <c r="G7" s="2936"/>
      <c r="H7" s="2936"/>
    </row>
    <row r="8" spans="1:41" s="1654" customFormat="1" ht="13.8"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1571</v>
      </c>
      <c r="B10" s="2615" t="s">
        <v>3023</v>
      </c>
      <c r="C10" s="1654"/>
      <c r="D10" s="2890" t="s">
        <v>1572</v>
      </c>
      <c r="E10" s="2894" t="s">
        <v>1573</v>
      </c>
      <c r="F10" s="3059"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4">
      <c r="A11" s="2895" t="s">
        <v>1574</v>
      </c>
      <c r="B11" s="2617">
        <v>70</v>
      </c>
      <c r="C11" s="1654"/>
      <c r="D11" s="2896" t="s">
        <v>1575</v>
      </c>
      <c r="E11" s="2618"/>
      <c r="F11" s="1281" t="s">
        <v>1576</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1577</v>
      </c>
      <c r="B12" s="3322">
        <v>60412</v>
      </c>
      <c r="C12" s="1654"/>
      <c r="D12" s="2897" t="s">
        <v>1578</v>
      </c>
      <c r="E12" s="2620">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1579</v>
      </c>
      <c r="B13" s="2899">
        <f>IF(B12="",B11-(YEAR($B$2)-B27+B24),ROUNDDOWN(MIN((B12-$B$2)/365,B11),2))</f>
        <v>43.42</v>
      </c>
      <c r="C13" s="2934"/>
      <c r="D13" s="2900" t="s">
        <v>1580</v>
      </c>
      <c r="E13" s="2621">
        <f>成本法!C10</f>
        <v>0</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4">
      <c r="A14" s="2897" t="s">
        <v>1582</v>
      </c>
      <c r="B14" s="2901">
        <f>IF(ISERROR(ROUND(POWER(1+B15,B11-B13)*(POWER(1+B15,B13)-1)/(POWER(1+B15,B11)-1),3)),0,ROUND(POWER(1+B15,B11-B13)*(POWER(1+B15,B13)-1)/(POWER(1+B15,B11)-1),3))</f>
        <v>0.91</v>
      </c>
      <c r="C14" s="1654"/>
      <c r="D14" s="2902"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4">
      <c r="A15" s="2897" t="s">
        <v>1584</v>
      </c>
      <c r="B15" s="2623">
        <v>0.05</v>
      </c>
      <c r="C15" s="2532" t="s">
        <v>2782</v>
      </c>
      <c r="D15" s="2897" t="s">
        <v>1585</v>
      </c>
      <c r="E15" s="2903">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1586</v>
      </c>
      <c r="B16" s="2623">
        <v>5.5E-2</v>
      </c>
      <c r="C16" s="2532" t="s">
        <v>2783</v>
      </c>
      <c r="D16" s="2904"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2780</v>
      </c>
      <c r="B17" s="3057">
        <v>7.4999999999999997E-2</v>
      </c>
      <c r="C17" s="2532" t="s">
        <v>2784</v>
      </c>
      <c r="D17" s="2893" t="s">
        <v>1589</v>
      </c>
      <c r="E17" s="2625">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1588</v>
      </c>
      <c r="B18" s="3065">
        <v>7.0000000000000007E-2</v>
      </c>
      <c r="C18" s="1654"/>
      <c r="D18" s="2906" t="str">
        <f>IF(B26=0,"建安总额","在建建安")</f>
        <v>建安总额</v>
      </c>
      <c r="E18" s="2907">
        <f>ROUND(B5*E17*IF(B26=0,1,E20),0)</f>
        <v>1377005</v>
      </c>
      <c r="F18" s="2626">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4.4" thickBot="1">
      <c r="A19" s="1280"/>
      <c r="B19" s="1280"/>
      <c r="C19" s="1654"/>
      <c r="D19" s="2906" t="str">
        <f>IF(B26=0,"——","续建建安")</f>
        <v>——</v>
      </c>
      <c r="E19" s="2907"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1590</v>
      </c>
      <c r="B20" s="1280"/>
      <c r="C20" s="1654"/>
      <c r="D20" s="2910" t="str">
        <f>IF(B26=0,"成新率","工程进度")</f>
        <v>成新率</v>
      </c>
      <c r="E20" s="2628">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4">
      <c r="A21" s="2909" t="s">
        <v>1591</v>
      </c>
      <c r="B21" s="2627">
        <v>0</v>
      </c>
      <c r="C21" s="1654"/>
      <c r="D21" s="2897" t="s">
        <v>1593</v>
      </c>
      <c r="E21" s="2630">
        <v>0.03</v>
      </c>
      <c r="F21" s="2640" t="s">
        <v>2790</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4">
      <c r="A22" s="2911" t="s">
        <v>1592</v>
      </c>
      <c r="B22" s="2629">
        <v>2</v>
      </c>
      <c r="C22" s="1654"/>
      <c r="D22" s="2897" t="s">
        <v>1595</v>
      </c>
      <c r="E22" s="2633">
        <v>0.05</v>
      </c>
      <c r="F22" s="2640"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4">
      <c r="A23" s="2912" t="s">
        <v>1594</v>
      </c>
      <c r="B23" s="2632">
        <v>2</v>
      </c>
      <c r="C23" s="1654"/>
      <c r="D23" s="2897" t="s">
        <v>1597</v>
      </c>
      <c r="E23" s="2620">
        <v>200</v>
      </c>
      <c r="F23" s="2640"/>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1596</v>
      </c>
      <c r="B24" s="2914">
        <f>B21+B22</f>
        <v>2</v>
      </c>
      <c r="C24" s="1654"/>
      <c r="D24" s="2904" t="s">
        <v>1599</v>
      </c>
      <c r="E24" s="2634">
        <v>1.4999999999999999E-2</v>
      </c>
      <c r="F24" s="2640"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4">
      <c r="A25" s="2915" t="s">
        <v>1598</v>
      </c>
      <c r="B25" s="2916">
        <f>B21+B23</f>
        <v>2</v>
      </c>
      <c r="C25" s="1654"/>
      <c r="D25" s="2896" t="s">
        <v>1601</v>
      </c>
      <c r="E25" s="2630">
        <v>0.02</v>
      </c>
      <c r="F25" s="2640" t="s">
        <v>2789</v>
      </c>
      <c r="I25" s="2935"/>
    </row>
    <row r="26" spans="1:41" ht="15" thickBot="1">
      <c r="A26" s="2913" t="s">
        <v>1600</v>
      </c>
      <c r="B26" s="2917">
        <f>B22-B23</f>
        <v>0</v>
      </c>
      <c r="D26" s="2897" t="s">
        <v>1603</v>
      </c>
      <c r="E26" s="2633">
        <v>0.02</v>
      </c>
      <c r="F26" s="2640" t="s">
        <v>2789</v>
      </c>
      <c r="G26" s="2936"/>
      <c r="H26" s="2936"/>
      <c r="I26" s="1654"/>
      <c r="J26" s="1654"/>
      <c r="K26" s="1654"/>
      <c r="L26" s="1654"/>
      <c r="M26" s="1654"/>
      <c r="N26" s="1654"/>
    </row>
    <row r="27" spans="1:41" ht="15" thickBot="1">
      <c r="A27" s="2918" t="s">
        <v>1602</v>
      </c>
      <c r="B27" s="2635">
        <v>2002</v>
      </c>
      <c r="C27" s="1654"/>
      <c r="D27" s="3124" t="s">
        <v>2989</v>
      </c>
      <c r="E27" s="2919">
        <f ca="1">IF(D27="利息：取LPR",存贷款利率!G1,存贷款利率!G1+F27)</f>
        <v>4.3499999999999997E-2</v>
      </c>
      <c r="F27" s="3125">
        <v>5.0000000000000001E-3</v>
      </c>
      <c r="G27" s="2936"/>
      <c r="H27" s="2936"/>
      <c r="K27" s="1654"/>
      <c r="N27" s="1654"/>
    </row>
    <row r="28" spans="1:41" ht="15" thickBot="1">
      <c r="A28" s="947"/>
      <c r="B28" s="947"/>
      <c r="D28" s="2900" t="s">
        <v>1605</v>
      </c>
      <c r="E28" s="2637">
        <v>0.15</v>
      </c>
      <c r="G28" s="2936"/>
      <c r="H28" s="2936"/>
      <c r="K28" s="1654"/>
      <c r="N28" s="1654"/>
    </row>
    <row r="29" spans="1:41" ht="14.4">
      <c r="A29" s="2920" t="s">
        <v>1604</v>
      </c>
      <c r="B29" s="2636" t="s">
        <v>2988</v>
      </c>
      <c r="D29" s="2902" t="s">
        <v>1606</v>
      </c>
      <c r="E29" s="2921">
        <f>E30+E31</f>
        <v>5.6000000000000001E-2</v>
      </c>
      <c r="F29" s="1279"/>
      <c r="G29" s="2936"/>
      <c r="H29" s="2936"/>
      <c r="K29" s="1654"/>
      <c r="N29" s="1654"/>
    </row>
    <row r="30" spans="1:41" ht="14.4">
      <c r="A30" s="2897" t="str">
        <f>IF(B29="租赁期内按合同租金","合同租金","市场租金")</f>
        <v>市场租金</v>
      </c>
      <c r="B30" s="2638">
        <v>4</v>
      </c>
      <c r="D30" s="2904" t="s">
        <v>1608</v>
      </c>
      <c r="E30" s="2639">
        <v>0.05</v>
      </c>
      <c r="F30" s="2923">
        <f>IF(B2&lt;DATE(2016,5,1),0,E30)</f>
        <v>0.05</v>
      </c>
      <c r="G30" s="2936"/>
      <c r="H30" s="2936"/>
      <c r="K30" s="1654"/>
      <c r="N30" s="1654"/>
    </row>
    <row r="31" spans="1:41" ht="14.4">
      <c r="A31" s="2897" t="s">
        <v>1607</v>
      </c>
      <c r="B31" s="2922">
        <f ca="1">存贷款利率!I1</f>
        <v>1.4999999999999999E-2</v>
      </c>
      <c r="D31" s="2904" t="s">
        <v>1610</v>
      </c>
      <c r="E31" s="2924">
        <f>E30*(E32+E33+E34)+E35</f>
        <v>6.000000000000001E-3</v>
      </c>
      <c r="F31" s="1279"/>
      <c r="G31" s="2936"/>
      <c r="H31" s="2936"/>
      <c r="K31" s="1654"/>
      <c r="N31" s="1654"/>
    </row>
    <row r="32" spans="1:41" ht="14.4">
      <c r="A32" s="2897" t="s">
        <v>1609</v>
      </c>
      <c r="B32" s="2623">
        <v>2.5000000000000001E-2</v>
      </c>
      <c r="D32" s="2904" t="s">
        <v>1612</v>
      </c>
      <c r="E32" s="3323">
        <v>7.0000000000000007E-2</v>
      </c>
      <c r="F32" s="2640" t="s">
        <v>2675</v>
      </c>
      <c r="G32" s="2936"/>
      <c r="H32" s="2936"/>
      <c r="K32" s="1654"/>
      <c r="L32" s="1654"/>
      <c r="M32" s="1654"/>
      <c r="N32" s="1654"/>
    </row>
    <row r="33" spans="1:14" ht="14.4">
      <c r="A33" s="2897" t="s">
        <v>1611</v>
      </c>
      <c r="B33" s="2623">
        <v>0.1</v>
      </c>
      <c r="D33" s="2904" t="s">
        <v>1614</v>
      </c>
      <c r="E33" s="2639">
        <v>0.03</v>
      </c>
      <c r="F33" s="1278" t="s">
        <v>1615</v>
      </c>
      <c r="G33" s="2936"/>
      <c r="H33" s="2936"/>
      <c r="K33" s="1654"/>
      <c r="L33" s="1654"/>
      <c r="M33" s="1654"/>
      <c r="N33" s="1654"/>
    </row>
    <row r="34" spans="1:14" s="2642" customFormat="1" ht="14.4">
      <c r="A34" s="2897" t="s">
        <v>1613</v>
      </c>
      <c r="B34" s="2925">
        <f>收益法!J54</f>
        <v>43.42</v>
      </c>
      <c r="D34" s="2904" t="s">
        <v>1616</v>
      </c>
      <c r="E34" s="2639">
        <v>0.02</v>
      </c>
      <c r="F34" s="1278" t="s">
        <v>1617</v>
      </c>
      <c r="G34" s="2936"/>
      <c r="H34" s="2936"/>
      <c r="I34" s="1654"/>
      <c r="J34" s="1654"/>
      <c r="K34" s="1654"/>
      <c r="L34" s="1654"/>
      <c r="M34" s="1654"/>
      <c r="N34" s="1654"/>
    </row>
    <row r="35" spans="1:14" s="2642" customFormat="1" ht="15" thickBot="1">
      <c r="A35" s="2904" t="str">
        <f>IF(B29="租赁期内按合同租金","剩余租赁期","——")</f>
        <v>——</v>
      </c>
      <c r="B35" s="2641"/>
      <c r="D35" s="2900" t="s">
        <v>1619</v>
      </c>
      <c r="E35" s="2644"/>
      <c r="F35" s="1281" t="s">
        <v>1620</v>
      </c>
      <c r="G35" s="2936"/>
      <c r="H35" s="2936"/>
      <c r="I35" s="1654"/>
      <c r="J35" s="1654"/>
      <c r="K35" s="1654"/>
      <c r="L35" s="1654"/>
      <c r="M35" s="1654"/>
      <c r="N35" s="1654"/>
    </row>
    <row r="36" spans="1:14" s="2642" customFormat="1" ht="14.4">
      <c r="A36" s="2926" t="s">
        <v>1618</v>
      </c>
      <c r="B36" s="2927"/>
      <c r="D36" s="2928" t="s">
        <v>1621</v>
      </c>
      <c r="E36" s="2646">
        <v>0.03</v>
      </c>
      <c r="F36" s="1280" t="s">
        <v>1622</v>
      </c>
      <c r="G36" s="2936"/>
      <c r="H36" s="2936"/>
      <c r="I36" s="1654"/>
      <c r="J36" s="1654"/>
      <c r="K36" s="1654"/>
      <c r="L36" s="1654"/>
      <c r="M36" s="1654"/>
      <c r="N36" s="1654"/>
    </row>
    <row r="37" spans="1:14" s="2642" customFormat="1" ht="15" thickBot="1">
      <c r="A37" s="2902" t="str">
        <f>IF(B29="租赁期内按合同租金","租金","——")</f>
        <v>——</v>
      </c>
      <c r="B37" s="2645"/>
      <c r="D37" s="2904" t="s">
        <v>1623</v>
      </c>
      <c r="E37" s="2639">
        <v>5.0000000000000001E-4</v>
      </c>
      <c r="F37" s="1280" t="s">
        <v>1624</v>
      </c>
      <c r="G37" s="2936"/>
      <c r="H37" s="2936"/>
      <c r="I37" s="1654"/>
      <c r="J37" s="1654"/>
      <c r="K37" s="1654"/>
      <c r="L37" s="1654"/>
      <c r="M37" s="1654"/>
      <c r="N37" s="1654"/>
    </row>
    <row r="38" spans="1:14" s="2642" customFormat="1" ht="14.4">
      <c r="A38" s="2897" t="str">
        <f>IF(B29="租赁期内按合同租金","年租金增长率","——")</f>
        <v>——</v>
      </c>
      <c r="B38" s="2623"/>
      <c r="D38" s="2929" t="s">
        <v>1625</v>
      </c>
      <c r="E38" s="2930">
        <v>1.2E-2</v>
      </c>
      <c r="F38" s="1280"/>
      <c r="G38" s="2935"/>
      <c r="H38" s="2935"/>
      <c r="I38" s="2936"/>
      <c r="J38" s="1654"/>
      <c r="K38" s="1654"/>
      <c r="L38" s="1654"/>
      <c r="M38" s="1654"/>
      <c r="N38" s="1654"/>
    </row>
    <row r="39" spans="1:14" s="2642" customFormat="1" ht="15" thickBot="1">
      <c r="A39" s="2897" t="str">
        <f>IF(B29="租赁期内按合同租金","空置率","——")</f>
        <v>——</v>
      </c>
      <c r="B39" s="2623"/>
      <c r="D39" s="2900" t="s">
        <v>1626</v>
      </c>
      <c r="E39" s="2931">
        <v>0.12</v>
      </c>
      <c r="F39" s="1280"/>
      <c r="G39" s="2936"/>
      <c r="H39" s="2936"/>
      <c r="I39" s="1654"/>
      <c r="J39" s="1654"/>
      <c r="K39" s="1654"/>
      <c r="L39" s="1654"/>
      <c r="M39" s="1654"/>
      <c r="N39" s="1654"/>
    </row>
    <row r="40" spans="1:14" ht="14.4">
      <c r="A40" s="2897" t="str">
        <f>IF(B29="租赁期内按合同租金","成新率","——")</f>
        <v>——</v>
      </c>
      <c r="B40" s="2623"/>
      <c r="D40" s="2929" t="s">
        <v>1627</v>
      </c>
      <c r="E40" s="2933">
        <f>SUMIF(D42:D51,E41,E42:E51)</f>
        <v>1.5</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1629</v>
      </c>
      <c r="E41" s="2648" t="s">
        <v>70</v>
      </c>
      <c r="F41" s="1280" t="s">
        <v>1630</v>
      </c>
      <c r="G41" s="1741" t="s">
        <v>1631</v>
      </c>
      <c r="H41" s="2936"/>
      <c r="I41" s="1654"/>
      <c r="J41" s="1654"/>
      <c r="K41" s="1654"/>
      <c r="L41" s="1654"/>
      <c r="M41" s="1654"/>
      <c r="N41" s="1654"/>
    </row>
    <row r="42" spans="1:14" ht="14.4">
      <c r="A42" s="2896" t="s">
        <v>1628</v>
      </c>
      <c r="B42" s="2647"/>
      <c r="D42" s="2650" t="s">
        <v>1633</v>
      </c>
      <c r="E42" s="2638"/>
      <c r="F42" s="1280">
        <v>30</v>
      </c>
      <c r="G42" s="2936"/>
      <c r="H42" s="2936"/>
      <c r="I42" s="1654"/>
      <c r="J42" s="1654"/>
      <c r="K42" s="1654"/>
      <c r="L42" s="1654"/>
      <c r="M42" s="1654"/>
      <c r="N42" s="1654"/>
    </row>
    <row r="43" spans="1:14" ht="14.4">
      <c r="A43" s="2897" t="s">
        <v>1632</v>
      </c>
      <c r="B43" s="2649">
        <v>365</v>
      </c>
      <c r="D43" s="2650" t="s">
        <v>1635</v>
      </c>
      <c r="E43" s="2638"/>
      <c r="F43" s="1280">
        <v>24</v>
      </c>
      <c r="G43" s="2936"/>
      <c r="H43" s="2936"/>
      <c r="I43" s="1654"/>
      <c r="J43" s="1654"/>
      <c r="K43" s="1654"/>
      <c r="L43" s="1654"/>
      <c r="M43" s="1654"/>
      <c r="N43" s="1654"/>
    </row>
    <row r="44" spans="1:14" ht="14.4">
      <c r="A44" s="2897" t="s">
        <v>1634</v>
      </c>
      <c r="B44" s="2638"/>
      <c r="D44" s="2650" t="s">
        <v>1637</v>
      </c>
      <c r="E44" s="2638"/>
      <c r="F44" s="1280">
        <v>18</v>
      </c>
      <c r="G44" s="2642"/>
      <c r="H44" s="2642"/>
      <c r="I44" s="2936"/>
      <c r="J44" s="1654"/>
      <c r="K44" s="1654"/>
      <c r="L44" s="1654"/>
      <c r="M44" s="1654"/>
      <c r="N44" s="1654"/>
    </row>
    <row r="45" spans="1:14" ht="14.4">
      <c r="A45" s="2897" t="s">
        <v>1636</v>
      </c>
      <c r="B45" s="2651">
        <v>1.4999999999999999E-2</v>
      </c>
      <c r="C45" s="2532" t="s">
        <v>2787</v>
      </c>
      <c r="D45" s="2650" t="s">
        <v>1639</v>
      </c>
      <c r="E45" s="2638"/>
      <c r="F45" s="1280">
        <v>12</v>
      </c>
      <c r="G45" s="2642"/>
      <c r="H45" s="2642"/>
      <c r="M45" s="1654"/>
      <c r="N45" s="1654"/>
    </row>
    <row r="46" spans="1:14" ht="14.4">
      <c r="A46" s="2897" t="s">
        <v>1638</v>
      </c>
      <c r="B46" s="2652">
        <v>1.5E-3</v>
      </c>
      <c r="C46" s="2532" t="s">
        <v>2785</v>
      </c>
      <c r="D46" s="2650" t="s">
        <v>1401</v>
      </c>
      <c r="E46" s="2638">
        <v>3</v>
      </c>
      <c r="F46" s="1280">
        <v>3</v>
      </c>
      <c r="G46" s="2642"/>
      <c r="H46" s="2642"/>
      <c r="M46" s="1654"/>
      <c r="N46" s="1654"/>
    </row>
    <row r="47" spans="1:14" ht="15" thickBot="1">
      <c r="A47" s="2900" t="s">
        <v>1640</v>
      </c>
      <c r="B47" s="2653">
        <v>0.02</v>
      </c>
      <c r="C47" s="2532" t="s">
        <v>2786</v>
      </c>
      <c r="D47" s="2650" t="s">
        <v>1641</v>
      </c>
      <c r="E47" s="2638">
        <v>1.5</v>
      </c>
      <c r="F47" s="1280">
        <v>1.5</v>
      </c>
      <c r="G47" s="2642"/>
      <c r="H47" s="2642"/>
      <c r="M47" s="1654"/>
      <c r="N47" s="1654"/>
    </row>
    <row r="48" spans="1:14" ht="14.4">
      <c r="A48" s="2642"/>
      <c r="B48" s="2642"/>
      <c r="D48" s="2650" t="s">
        <v>1642</v>
      </c>
      <c r="E48" s="2638"/>
      <c r="F48" s="1280"/>
      <c r="G48" s="2642"/>
      <c r="H48" s="2642"/>
      <c r="M48" s="1654"/>
      <c r="N48" s="1654"/>
    </row>
    <row r="49" spans="1:41" ht="14.4">
      <c r="A49" s="2642"/>
      <c r="B49" s="2642"/>
      <c r="D49" s="2650" t="s">
        <v>1643</v>
      </c>
      <c r="E49" s="2638"/>
      <c r="F49" s="1280"/>
      <c r="G49" s="2642"/>
      <c r="H49" s="2642"/>
      <c r="M49" s="1654"/>
      <c r="N49" s="1654"/>
    </row>
    <row r="50" spans="1:41" ht="14.4">
      <c r="A50" s="2642"/>
      <c r="B50" s="2642"/>
      <c r="D50" s="2650" t="s">
        <v>1644</v>
      </c>
      <c r="E50" s="2638"/>
      <c r="F50" s="1280"/>
      <c r="G50" s="2642"/>
      <c r="H50" s="2642"/>
      <c r="M50" s="1654"/>
      <c r="N50" s="1654"/>
    </row>
    <row r="51" spans="1:41" s="947" customFormat="1" ht="15" thickBot="1">
      <c r="A51" s="2642"/>
      <c r="B51" s="2642"/>
      <c r="C51" s="2642"/>
      <c r="D51" s="2654" t="s">
        <v>1645</v>
      </c>
      <c r="E51" s="2655"/>
      <c r="F51" s="1280"/>
      <c r="G51" s="2642"/>
      <c r="H51" s="2642"/>
      <c r="I51" s="2642"/>
      <c r="J51" s="2642"/>
      <c r="K51" s="2642"/>
      <c r="L51" s="2642"/>
      <c r="M51" s="1654"/>
      <c r="N51" s="1654"/>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3.8">
      <c r="D52" s="2936"/>
      <c r="E52" s="2936"/>
      <c r="F52" s="2936"/>
      <c r="G52" s="2936"/>
      <c r="H52" s="2936"/>
      <c r="I52" s="1654"/>
      <c r="J52" s="1654"/>
      <c r="K52" s="1654"/>
      <c r="L52" s="1654"/>
      <c r="M52" s="1654"/>
      <c r="N52" s="1654"/>
    </row>
    <row r="53" spans="1:41" s="2642" customFormat="1" ht="13.8">
      <c r="D53" s="2936"/>
      <c r="E53" s="2936"/>
      <c r="F53" s="2936"/>
      <c r="G53" s="2936"/>
      <c r="H53" s="2936"/>
      <c r="I53" s="1654"/>
      <c r="J53" s="1654"/>
      <c r="K53" s="1654"/>
      <c r="L53" s="1654"/>
      <c r="M53" s="1654"/>
      <c r="N53" s="1654"/>
    </row>
    <row r="54" spans="1:41" s="2642" customFormat="1" ht="13.8">
      <c r="D54" s="2936"/>
      <c r="E54" s="2936"/>
      <c r="F54" s="2936"/>
      <c r="G54" s="2936"/>
      <c r="H54" s="2936"/>
      <c r="I54" s="1654"/>
      <c r="J54" s="1654"/>
      <c r="K54" s="1654"/>
      <c r="L54" s="1654"/>
      <c r="M54" s="1654"/>
      <c r="N54" s="1654"/>
    </row>
    <row r="55" spans="1:41" s="2642" customFormat="1" ht="13.8">
      <c r="D55" s="2936"/>
      <c r="E55" s="2936"/>
      <c r="F55" s="2936"/>
      <c r="G55" s="2936"/>
      <c r="H55" s="2936"/>
      <c r="I55" s="1654"/>
      <c r="J55" s="1654"/>
      <c r="K55" s="1654"/>
      <c r="L55" s="1654"/>
      <c r="M55" s="1654"/>
      <c r="N55" s="1654"/>
    </row>
    <row r="56" spans="1:41" s="2642" customFormat="1" ht="13.8">
      <c r="D56" s="2936"/>
      <c r="E56" s="2936"/>
      <c r="F56" s="2936"/>
      <c r="G56" s="2936"/>
      <c r="H56" s="2936"/>
      <c r="I56" s="1654"/>
      <c r="J56" s="1654"/>
      <c r="K56" s="1654"/>
      <c r="L56" s="1654"/>
      <c r="M56" s="1654"/>
      <c r="N56" s="1654"/>
    </row>
    <row r="57" spans="1:41" s="2642" customFormat="1" ht="13.8">
      <c r="D57" s="2936"/>
      <c r="E57" s="2936"/>
      <c r="F57" s="2936"/>
      <c r="G57" s="2936"/>
      <c r="H57" s="2936"/>
      <c r="I57" s="1654"/>
      <c r="J57" s="1654"/>
      <c r="K57" s="1654"/>
      <c r="L57" s="1654"/>
      <c r="M57" s="1654"/>
      <c r="N57" s="1654"/>
    </row>
    <row r="58" spans="1:41" s="2642" customFormat="1" ht="13.8">
      <c r="D58" s="2936"/>
      <c r="E58" s="2936"/>
      <c r="F58" s="2936"/>
      <c r="G58" s="2936"/>
      <c r="H58" s="2936"/>
      <c r="I58" s="1654"/>
      <c r="J58" s="1654"/>
      <c r="K58" s="1654"/>
      <c r="L58" s="1654"/>
      <c r="M58" s="1654"/>
      <c r="N58" s="1654"/>
    </row>
    <row r="59" spans="1:41" s="2642" customFormat="1" ht="13.8">
      <c r="D59" s="2936"/>
      <c r="E59" s="2936"/>
      <c r="F59" s="2936"/>
      <c r="G59" s="2936"/>
      <c r="H59" s="2936"/>
      <c r="I59" s="1654"/>
      <c r="J59" s="1654"/>
      <c r="K59" s="1654"/>
      <c r="L59" s="1654"/>
      <c r="M59" s="2937"/>
      <c r="N59" s="1654"/>
    </row>
    <row r="60" spans="1:41" s="2642" customFormat="1" ht="13.8">
      <c r="D60" s="2936"/>
      <c r="E60" s="2936"/>
      <c r="F60" s="2936"/>
      <c r="G60" s="2936"/>
      <c r="H60" s="2936"/>
      <c r="I60" s="1654"/>
      <c r="J60" s="1654"/>
      <c r="K60" s="1654"/>
      <c r="L60" s="1654"/>
      <c r="M60" s="1654"/>
      <c r="N60" s="1654"/>
    </row>
    <row r="61" spans="1:41" s="2642" customFormat="1" ht="13.8">
      <c r="D61" s="2936"/>
      <c r="E61" s="2936"/>
      <c r="F61" s="2936"/>
      <c r="G61" s="2936"/>
      <c r="H61" s="2936"/>
      <c r="I61" s="1654"/>
      <c r="J61" s="1654"/>
      <c r="K61" s="1654"/>
      <c r="L61" s="1654"/>
      <c r="M61" s="1654"/>
      <c r="N61" s="1654"/>
    </row>
    <row r="62" spans="1:41" s="2642" customFormat="1" ht="13.8">
      <c r="D62" s="2936"/>
      <c r="E62" s="2936"/>
      <c r="F62" s="2936"/>
      <c r="G62" s="2936"/>
      <c r="H62" s="2936"/>
      <c r="I62" s="1654"/>
      <c r="J62" s="1654"/>
      <c r="K62" s="1654"/>
      <c r="L62" s="1654"/>
      <c r="M62" s="1654"/>
      <c r="N62" s="1654"/>
    </row>
    <row r="63" spans="1:41" s="2642" customFormat="1" ht="13.8">
      <c r="D63" s="2936"/>
      <c r="E63" s="2936"/>
      <c r="F63" s="2936"/>
      <c r="G63" s="2936"/>
      <c r="H63" s="2936"/>
      <c r="I63" s="1654"/>
      <c r="J63" s="1654"/>
      <c r="K63" s="1654"/>
      <c r="L63" s="1654"/>
      <c r="M63" s="1654"/>
      <c r="N63" s="1654"/>
    </row>
    <row r="64" spans="1:41" s="2642" customFormat="1" ht="13.8">
      <c r="D64" s="2936"/>
      <c r="E64" s="2936"/>
      <c r="F64" s="2936"/>
      <c r="G64" s="2936"/>
      <c r="H64" s="2936"/>
      <c r="I64" s="1654"/>
      <c r="J64" s="1654"/>
      <c r="K64" s="1654"/>
      <c r="L64" s="1654"/>
      <c r="M64" s="1654"/>
      <c r="N64" s="1654"/>
    </row>
    <row r="65" spans="1:14" s="2642" customFormat="1" ht="13.8">
      <c r="D65" s="2936"/>
      <c r="E65" s="2936"/>
      <c r="F65" s="2936"/>
      <c r="G65" s="2936"/>
      <c r="H65" s="2936"/>
      <c r="I65" s="1654"/>
      <c r="J65" s="1654"/>
      <c r="K65" s="1654"/>
      <c r="L65" s="1654"/>
      <c r="M65" s="1654"/>
      <c r="N65" s="1654"/>
    </row>
    <row r="66" spans="1:14" s="2642" customFormat="1" ht="13.8">
      <c r="D66" s="2936"/>
      <c r="E66" s="2936"/>
      <c r="F66" s="2936"/>
      <c r="G66" s="2936"/>
      <c r="H66" s="2936"/>
      <c r="I66" s="1654"/>
      <c r="J66" s="1654"/>
      <c r="K66" s="1654"/>
      <c r="L66" s="1654"/>
      <c r="M66" s="1654"/>
      <c r="N66" s="1654"/>
    </row>
    <row r="67" spans="1:14" s="2642" customFormat="1" ht="13.8">
      <c r="A67" s="2940"/>
      <c r="D67" s="2936"/>
      <c r="E67" s="2936"/>
      <c r="F67" s="2936"/>
      <c r="G67" s="2936"/>
      <c r="H67" s="2936"/>
      <c r="I67" s="1654"/>
      <c r="J67" s="1654"/>
      <c r="K67" s="1654"/>
      <c r="L67" s="1654"/>
      <c r="M67" s="1654"/>
      <c r="N67" s="1654"/>
    </row>
    <row r="68" spans="1:14" s="2642" customFormat="1" ht="13.8">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3.8"/>
  <cols>
    <col min="1" max="1" width="14.77734375" style="2606" customWidth="1"/>
    <col min="2" max="2" width="24.44140625" style="2619" customWidth="1"/>
    <col min="3" max="3" width="28.33203125" style="2678" customWidth="1"/>
    <col min="4" max="4" width="2.6640625" style="2678" customWidth="1"/>
    <col min="5" max="5" width="5.88671875" style="2678" customWidth="1"/>
    <col min="6" max="6" width="27" style="2619" customWidth="1"/>
    <col min="7" max="7" width="32.33203125" style="2679" customWidth="1"/>
    <col min="8" max="8" width="11.88671875" style="2675" customWidth="1"/>
    <col min="9" max="9" width="16.77734375" style="2676" customWidth="1"/>
    <col min="10" max="10" width="2.6640625" style="2675" customWidth="1"/>
    <col min="11" max="11" width="11.88671875" style="2675" customWidth="1"/>
    <col min="12" max="12" width="16.77734375" style="2676" customWidth="1"/>
    <col min="13" max="13" width="2.6640625" style="2675" customWidth="1"/>
    <col min="14" max="14" width="11.88671875" style="2675" customWidth="1"/>
    <col min="15" max="15" width="16.77734375" style="2676" customWidth="1"/>
    <col min="16" max="16" width="2.6640625" style="2675" customWidth="1"/>
    <col min="17" max="17" width="11.88671875" style="2675" customWidth="1"/>
    <col min="18" max="18" width="16.77734375" style="2677" customWidth="1"/>
    <col min="19" max="29" width="9" style="2665"/>
    <col min="30" max="16384" width="9" style="2606"/>
  </cols>
  <sheetData>
    <row r="1" spans="1:29" s="2663" customFormat="1" ht="18" thickBot="1">
      <c r="A1" s="3412" t="s">
        <v>1646</v>
      </c>
      <c r="B1" s="3413"/>
      <c r="C1" s="3413"/>
      <c r="D1" s="3413"/>
      <c r="E1" s="3413"/>
      <c r="F1" s="3413"/>
      <c r="G1" s="341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48">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37.200000000000003">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37.200000000000003">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6"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3.2">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thickBot="1">
      <c r="A10" s="3085"/>
      <c r="B10" s="3064" t="s">
        <v>2814</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2" customFormat="1" ht="13.2">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7.399999999999999">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8" thickBot="1">
      <c r="A13" s="2674" t="s">
        <v>1652</v>
      </c>
      <c r="B13" s="2668"/>
      <c r="C13" s="2668"/>
      <c r="D13" s="2664"/>
      <c r="E13" s="2668"/>
      <c r="F13" s="2668"/>
      <c r="G13" s="2668"/>
    </row>
    <row r="14" spans="1:29" s="2603" customFormat="1"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52.8">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39.6">
      <c r="A16" s="3102"/>
      <c r="B16" s="2543"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39.6">
      <c r="A17" s="3102"/>
      <c r="B17" s="2543"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9.6">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26.4">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6.4">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6.4">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3.2">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28" sqref="C28"/>
    </sheetView>
  </sheetViews>
  <sheetFormatPr defaultColWidth="14.6640625" defaultRowHeight="14.4"/>
  <cols>
    <col min="1" max="1" width="24.33203125" style="2552" customWidth="1"/>
    <col min="2" max="16384" width="14.6640625" style="2552"/>
  </cols>
  <sheetData>
    <row r="1" spans="1:9" ht="15.6">
      <c r="A1" s="2550" t="s">
        <v>1155</v>
      </c>
      <c r="B1" s="2550">
        <f>SUM(B14:B23)</f>
        <v>114.18</v>
      </c>
      <c r="C1" s="1603"/>
      <c r="D1" s="1603"/>
      <c r="E1" s="1603"/>
      <c r="F1" s="1603"/>
      <c r="G1" s="2551"/>
    </row>
    <row r="2" spans="1:9" ht="15.6">
      <c r="A2" s="2550" t="s">
        <v>1156</v>
      </c>
      <c r="B2" s="2550">
        <f>SUM(C14:C23)</f>
        <v>0</v>
      </c>
      <c r="C2" s="1603"/>
      <c r="D2" s="1603"/>
      <c r="E2" s="1603"/>
      <c r="F2" s="1603"/>
      <c r="G2" s="2551"/>
    </row>
    <row r="3" spans="1:9" ht="15.6">
      <c r="A3" s="2550" t="s">
        <v>1157</v>
      </c>
      <c r="B3" s="2553">
        <f>项目基本情况!D2</f>
        <v>44561</v>
      </c>
      <c r="C3" s="1603"/>
      <c r="D3" s="1603"/>
      <c r="E3" s="1603"/>
      <c r="F3" s="1603"/>
      <c r="G3" s="2551"/>
    </row>
    <row r="4" spans="1:9" ht="31.2">
      <c r="A4" s="2550" t="s">
        <v>1158</v>
      </c>
      <c r="B4" s="2550" t="s">
        <v>1159</v>
      </c>
      <c r="C4" s="2550" t="s">
        <v>1160</v>
      </c>
      <c r="D4" s="2550" t="s">
        <v>1161</v>
      </c>
      <c r="E4" s="1603"/>
      <c r="F4" s="2551"/>
      <c r="G4" s="2551"/>
    </row>
    <row r="5" spans="1:9" ht="15.6">
      <c r="A5" s="2550" t="s">
        <v>1162</v>
      </c>
      <c r="B5" s="2550">
        <f ca="1">SUM(D14:D23)</f>
        <v>330</v>
      </c>
      <c r="C5" s="2550">
        <f ca="1">ROUND(B5*10000/$B$1,0)</f>
        <v>28902</v>
      </c>
      <c r="D5" s="2550" t="e">
        <f ca="1">ROUND(B5*10000/$B$2,0)</f>
        <v>#DIV/0!</v>
      </c>
      <c r="E5" s="1603"/>
      <c r="F5" s="2551"/>
      <c r="G5" s="2551"/>
    </row>
    <row r="6" spans="1:9" ht="15.6">
      <c r="A6" s="2550" t="s">
        <v>1163</v>
      </c>
      <c r="B6" s="2550">
        <f ca="1">SUM(G14:G23)</f>
        <v>1138</v>
      </c>
      <c r="C6" s="2550">
        <f t="shared" ref="C6:C8" ca="1" si="0">ROUND(B6*10000/$B$1,0)</f>
        <v>99667</v>
      </c>
      <c r="D6" s="2550" t="e">
        <f t="shared" ref="D6:D8" ca="1" si="1">ROUND(B6*10000/$B$2,0)</f>
        <v>#DIV/0!</v>
      </c>
      <c r="E6" s="1603"/>
      <c r="F6" s="2551"/>
      <c r="G6" s="2551"/>
    </row>
    <row r="7" spans="1:9" ht="15.6">
      <c r="A7" s="2550" t="s">
        <v>1164</v>
      </c>
      <c r="B7" s="2550">
        <f>SUM(H14:H23)</f>
        <v>0</v>
      </c>
      <c r="C7" s="2550">
        <f>ROUND(B7*10000/$B$1,0)</f>
        <v>0</v>
      </c>
      <c r="D7" s="2550" t="e">
        <f t="shared" si="1"/>
        <v>#DIV/0!</v>
      </c>
      <c r="E7" s="1603"/>
      <c r="F7" s="2551"/>
      <c r="G7" s="2551"/>
    </row>
    <row r="8" spans="1:9" ht="15.6">
      <c r="A8" s="2550" t="s">
        <v>1165</v>
      </c>
      <c r="B8" s="2550">
        <f>SUM(I14:I23)</f>
        <v>0</v>
      </c>
      <c r="C8" s="2550">
        <f t="shared" si="0"/>
        <v>0</v>
      </c>
      <c r="D8" s="2550" t="e">
        <f t="shared" si="1"/>
        <v>#DIV/0!</v>
      </c>
      <c r="E8" s="1603"/>
      <c r="F8" s="2551"/>
      <c r="G8" s="2551"/>
    </row>
    <row r="9" spans="1:9" ht="15.6">
      <c r="A9" s="2550" t="s">
        <v>1166</v>
      </c>
      <c r="B9" s="2554"/>
      <c r="C9" s="1603"/>
      <c r="D9" s="1603"/>
      <c r="E9" s="1603"/>
      <c r="F9" s="2551"/>
      <c r="G9" s="2551"/>
    </row>
    <row r="10" spans="1:9" ht="15.6">
      <c r="A10" s="2550" t="s">
        <v>1167</v>
      </c>
      <c r="B10" s="2554"/>
      <c r="C10" s="1603"/>
      <c r="D10" s="1603"/>
      <c r="E10" s="1603"/>
      <c r="F10" s="2551"/>
      <c r="G10" s="2551"/>
    </row>
    <row r="11" spans="1:9" ht="15.6">
      <c r="A11" s="2550" t="s">
        <v>1183</v>
      </c>
      <c r="B11" s="2554"/>
      <c r="C11" s="1603"/>
      <c r="D11" s="1603"/>
      <c r="E11" s="1603"/>
      <c r="F11" s="2551"/>
      <c r="G11" s="2551"/>
    </row>
    <row r="12" spans="1:9" ht="15.6">
      <c r="A12" s="1603"/>
      <c r="B12" s="1603"/>
      <c r="C12" s="1603"/>
      <c r="D12" s="1603"/>
      <c r="E12" s="1603"/>
      <c r="F12" s="2551"/>
      <c r="G12" s="2551"/>
    </row>
    <row r="13" spans="1:9" ht="31.2">
      <c r="A13" s="2555" t="s">
        <v>1182</v>
      </c>
      <c r="B13" s="2556" t="s">
        <v>1155</v>
      </c>
      <c r="C13" s="2556" t="s">
        <v>1156</v>
      </c>
      <c r="D13" s="2556" t="s">
        <v>1168</v>
      </c>
      <c r="E13" s="2550" t="s">
        <v>1160</v>
      </c>
      <c r="F13" s="2550" t="s">
        <v>1161</v>
      </c>
      <c r="G13" s="2556" t="s">
        <v>1169</v>
      </c>
      <c r="H13" s="2556" t="s">
        <v>1170</v>
      </c>
      <c r="I13" s="2556" t="s">
        <v>1171</v>
      </c>
    </row>
    <row r="14" spans="1:9" ht="15.6">
      <c r="A14" s="2854" t="s">
        <v>1181</v>
      </c>
      <c r="B14" s="2884">
        <f>典型户型修正!B28</f>
        <v>114.18</v>
      </c>
      <c r="C14" s="2884">
        <f>项目基本情况!C13</f>
        <v>0</v>
      </c>
      <c r="D14" s="2884">
        <f ca="1">典型户型修正!T28</f>
        <v>330</v>
      </c>
      <c r="E14" s="2884">
        <f ca="1">ROUND(D14*10000/B14,0)</f>
        <v>28902</v>
      </c>
      <c r="F14" s="2884" t="e">
        <f ca="1">ROUND(D14*10000/C14,0)</f>
        <v>#DIV/0!</v>
      </c>
      <c r="G14" s="2884">
        <f ca="1">IF('数据-取费表'!B3="万元",IF(A14="估价对象1（结果表）",结果表!D125,'结果表 (1修多)'!D129),IF(A14="估价对象1（结果表）",结果表!D125,'结果表 (1修多)'!D129)/10000)</f>
        <v>1138</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5.6">
      <c r="A15" s="2557" t="s">
        <v>1172</v>
      </c>
      <c r="B15" s="2558"/>
      <c r="C15" s="2558"/>
      <c r="D15" s="2558"/>
      <c r="E15" s="2884" t="e">
        <f t="shared" ref="E15:E23" si="2">ROUND(D15*10000/B15,0)</f>
        <v>#DIV/0!</v>
      </c>
      <c r="F15" s="2884" t="e">
        <f t="shared" ref="F15:F23" si="3">ROUND(D15*10000/C15,0)</f>
        <v>#DIV/0!</v>
      </c>
      <c r="G15" s="1274"/>
      <c r="H15" s="1274"/>
      <c r="I15" s="2558"/>
    </row>
    <row r="16" spans="1:9" ht="15.6">
      <c r="A16" s="2557" t="s">
        <v>1173</v>
      </c>
      <c r="B16" s="2558"/>
      <c r="C16" s="2558"/>
      <c r="D16" s="2558"/>
      <c r="E16" s="2884" t="e">
        <f t="shared" si="2"/>
        <v>#DIV/0!</v>
      </c>
      <c r="F16" s="2884" t="e">
        <f t="shared" si="3"/>
        <v>#DIV/0!</v>
      </c>
      <c r="G16" s="1274"/>
      <c r="H16" s="1274"/>
      <c r="I16" s="2558"/>
    </row>
    <row r="17" spans="1:9" ht="15.6">
      <c r="A17" s="2557" t="s">
        <v>1174</v>
      </c>
      <c r="B17" s="2558"/>
      <c r="C17" s="2558"/>
      <c r="D17" s="2558"/>
      <c r="E17" s="2884" t="e">
        <f t="shared" si="2"/>
        <v>#DIV/0!</v>
      </c>
      <c r="F17" s="2884" t="e">
        <f t="shared" si="3"/>
        <v>#DIV/0!</v>
      </c>
      <c r="G17" s="1274"/>
      <c r="H17" s="1274"/>
      <c r="I17" s="2558"/>
    </row>
    <row r="18" spans="1:9" ht="15.6">
      <c r="A18" s="2557" t="s">
        <v>1175</v>
      </c>
      <c r="B18" s="2558"/>
      <c r="C18" s="2558"/>
      <c r="D18" s="2558"/>
      <c r="E18" s="2884" t="e">
        <f t="shared" si="2"/>
        <v>#DIV/0!</v>
      </c>
      <c r="F18" s="2884" t="e">
        <f t="shared" si="3"/>
        <v>#DIV/0!</v>
      </c>
      <c r="G18" s="2558"/>
      <c r="H18" s="2558"/>
      <c r="I18" s="2558"/>
    </row>
    <row r="19" spans="1:9" ht="15.6">
      <c r="A19" s="2557" t="s">
        <v>1176</v>
      </c>
      <c r="B19" s="2558"/>
      <c r="C19" s="2558"/>
      <c r="D19" s="2558"/>
      <c r="E19" s="2884" t="e">
        <f t="shared" si="2"/>
        <v>#DIV/0!</v>
      </c>
      <c r="F19" s="2884" t="e">
        <f t="shared" si="3"/>
        <v>#DIV/0!</v>
      </c>
      <c r="G19" s="2558"/>
      <c r="H19" s="2558"/>
      <c r="I19" s="2558"/>
    </row>
    <row r="20" spans="1:9" ht="15.6">
      <c r="A20" s="2557" t="s">
        <v>1177</v>
      </c>
      <c r="B20" s="2558"/>
      <c r="C20" s="2558"/>
      <c r="D20" s="2558"/>
      <c r="E20" s="2884" t="e">
        <f t="shared" si="2"/>
        <v>#DIV/0!</v>
      </c>
      <c r="F20" s="2884" t="e">
        <f t="shared" si="3"/>
        <v>#DIV/0!</v>
      </c>
      <c r="G20" s="2558"/>
      <c r="H20" s="2558"/>
      <c r="I20" s="2558"/>
    </row>
    <row r="21" spans="1:9" ht="15.6">
      <c r="A21" s="2557" t="s">
        <v>1178</v>
      </c>
      <c r="B21" s="2558"/>
      <c r="C21" s="2558"/>
      <c r="D21" s="2558"/>
      <c r="E21" s="2884" t="e">
        <f t="shared" si="2"/>
        <v>#DIV/0!</v>
      </c>
      <c r="F21" s="2884" t="e">
        <f t="shared" si="3"/>
        <v>#DIV/0!</v>
      </c>
      <c r="G21" s="2558"/>
      <c r="H21" s="2558"/>
      <c r="I21" s="2558"/>
    </row>
    <row r="22" spans="1:9" ht="15.6">
      <c r="A22" s="2557" t="s">
        <v>1179</v>
      </c>
      <c r="B22" s="2558"/>
      <c r="C22" s="2558"/>
      <c r="D22" s="2558"/>
      <c r="E22" s="2884" t="e">
        <f t="shared" si="2"/>
        <v>#DIV/0!</v>
      </c>
      <c r="F22" s="2884" t="e">
        <f t="shared" si="3"/>
        <v>#DIV/0!</v>
      </c>
      <c r="G22" s="2558"/>
      <c r="H22" s="2558"/>
      <c r="I22" s="2558"/>
    </row>
    <row r="23" spans="1:9" ht="15.6">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640625" defaultRowHeight="21.75" customHeight="1"/>
  <cols>
    <col min="1" max="2" width="12.6640625" style="1431"/>
    <col min="3" max="4" width="12.6640625" style="1431" customWidth="1"/>
    <col min="5" max="9" width="12.6640625" style="1431"/>
    <col min="10" max="10" width="3.6640625" style="2810" customWidth="1"/>
    <col min="11" max="12" width="12.6640625" style="659" customWidth="1"/>
    <col min="13" max="13" width="12.6640625" style="659"/>
    <col min="14" max="14" width="14.109375" style="659" bestFit="1" customWidth="1"/>
    <col min="15" max="27" width="12.6640625" style="659"/>
    <col min="28" max="36" width="12.6640625" style="1277"/>
    <col min="37" max="16384" width="12.6640625" style="1431"/>
  </cols>
  <sheetData>
    <row r="1" spans="1:15" ht="21.75" customHeight="1">
      <c r="A1" s="1429" t="s">
        <v>1653</v>
      </c>
      <c r="B1" s="1430"/>
      <c r="C1" s="1430"/>
      <c r="D1" s="1430"/>
      <c r="E1" s="1430"/>
      <c r="F1" s="1430"/>
      <c r="G1" s="1430"/>
      <c r="H1" s="1430"/>
      <c r="I1" s="1430"/>
    </row>
    <row r="2" spans="1:15" ht="21.75" customHeight="1">
      <c r="A2" s="3469" t="str">
        <f>项目基本情况!B1</f>
        <v>北京市房地产抵押价值预评估</v>
      </c>
      <c r="B2" s="3469"/>
      <c r="C2" s="3469"/>
      <c r="D2" s="3469"/>
      <c r="E2" s="3469"/>
      <c r="F2" s="3469"/>
      <c r="G2" s="3469"/>
      <c r="H2" s="3469"/>
      <c r="I2" s="3469"/>
      <c r="J2" s="2811"/>
    </row>
    <row r="3" spans="1:15" ht="13.2">
      <c r="A3" s="3472" t="s">
        <v>1654</v>
      </c>
      <c r="B3" s="3473"/>
      <c r="C3" s="3473"/>
      <c r="D3" s="3473"/>
      <c r="E3" s="3473"/>
      <c r="F3" s="3473"/>
      <c r="G3" s="3473"/>
      <c r="H3" s="3473"/>
      <c r="I3" s="3473"/>
      <c r="J3" s="2812"/>
    </row>
    <row r="4" spans="1:15" ht="14.4">
      <c r="A4" s="2680" t="s">
        <v>1655</v>
      </c>
      <c r="B4" s="2680" t="s">
        <v>1656</v>
      </c>
      <c r="C4" s="2681" t="s">
        <v>3009</v>
      </c>
      <c r="D4" s="2681" t="s">
        <v>3003</v>
      </c>
      <c r="E4" s="3418" t="s">
        <v>1657</v>
      </c>
      <c r="F4" s="3456"/>
      <c r="G4" s="3456"/>
      <c r="H4" s="3456"/>
      <c r="I4" s="3457"/>
      <c r="J4" s="2813"/>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3.2">
      <c r="A5" s="3449" t="s">
        <v>1658</v>
      </c>
      <c r="B5" s="3449">
        <v>25</v>
      </c>
      <c r="C5" s="3458"/>
      <c r="D5" s="3471"/>
      <c r="E5" s="12" t="s">
        <v>1659</v>
      </c>
      <c r="F5" s="2058"/>
      <c r="G5" s="2058"/>
      <c r="H5" s="2058"/>
      <c r="I5" s="2053"/>
      <c r="J5" s="2813"/>
    </row>
    <row r="6" spans="1:15" ht="13.2">
      <c r="A6" s="3449"/>
      <c r="B6" s="3449"/>
      <c r="C6" s="3474"/>
      <c r="D6" s="3471"/>
      <c r="E6" s="12" t="s">
        <v>1660</v>
      </c>
      <c r="F6" s="2058"/>
      <c r="G6" s="2058"/>
      <c r="H6" s="2058"/>
      <c r="I6" s="2053"/>
      <c r="J6" s="2813"/>
    </row>
    <row r="7" spans="1:15" ht="13.2">
      <c r="A7" s="3449"/>
      <c r="B7" s="3449"/>
      <c r="C7" s="3459"/>
      <c r="D7" s="3471"/>
      <c r="E7" s="12" t="s">
        <v>1661</v>
      </c>
      <c r="F7" s="2058"/>
      <c r="G7" s="2058"/>
      <c r="H7" s="2058"/>
      <c r="I7" s="2053"/>
      <c r="J7" s="2813"/>
    </row>
    <row r="8" spans="1:15" ht="13.2">
      <c r="A8" s="3449" t="s">
        <v>1662</v>
      </c>
      <c r="B8" s="3449">
        <v>15</v>
      </c>
      <c r="C8" s="3458"/>
      <c r="D8" s="3471"/>
      <c r="E8" s="12" t="s">
        <v>1663</v>
      </c>
      <c r="F8" s="2058"/>
      <c r="G8" s="2058"/>
      <c r="H8" s="2058"/>
      <c r="I8" s="2053"/>
      <c r="J8" s="2813"/>
    </row>
    <row r="9" spans="1:15" ht="13.2">
      <c r="A9" s="3449"/>
      <c r="B9" s="3449"/>
      <c r="C9" s="3459"/>
      <c r="D9" s="3471"/>
      <c r="E9" s="12" t="s">
        <v>1664</v>
      </c>
      <c r="F9" s="2058"/>
      <c r="G9" s="2058"/>
      <c r="H9" s="2058"/>
      <c r="I9" s="2053"/>
      <c r="J9" s="2813"/>
    </row>
    <row r="10" spans="1:15" ht="13.2">
      <c r="A10" s="3449" t="s">
        <v>1665</v>
      </c>
      <c r="B10" s="3449">
        <v>15</v>
      </c>
      <c r="C10" s="3458"/>
      <c r="D10" s="3471"/>
      <c r="E10" s="12" t="s">
        <v>1666</v>
      </c>
      <c r="F10" s="2058"/>
      <c r="G10" s="2058"/>
      <c r="H10" s="2058"/>
      <c r="I10" s="2053"/>
      <c r="J10" s="2813"/>
    </row>
    <row r="11" spans="1:15" ht="13.2">
      <c r="A11" s="3449"/>
      <c r="B11" s="3449"/>
      <c r="C11" s="3459"/>
      <c r="D11" s="3471"/>
      <c r="E11" s="12" t="s">
        <v>1667</v>
      </c>
      <c r="F11" s="2058"/>
      <c r="G11" s="2058"/>
      <c r="H11" s="2058"/>
      <c r="I11" s="2053"/>
      <c r="J11" s="2813"/>
    </row>
    <row r="12" spans="1:15" ht="13.2">
      <c r="A12" s="3449" t="s">
        <v>1668</v>
      </c>
      <c r="B12" s="3449">
        <v>15</v>
      </c>
      <c r="C12" s="3458"/>
      <c r="D12" s="3471"/>
      <c r="E12" s="12" t="s">
        <v>1669</v>
      </c>
      <c r="F12" s="2058"/>
      <c r="G12" s="2058"/>
      <c r="H12" s="2058"/>
      <c r="I12" s="2053"/>
      <c r="J12" s="2813"/>
    </row>
    <row r="13" spans="1:15" ht="13.2">
      <c r="A13" s="3449"/>
      <c r="B13" s="3449"/>
      <c r="C13" s="3459"/>
      <c r="D13" s="3471"/>
      <c r="E13" s="12" t="s">
        <v>1670</v>
      </c>
      <c r="F13" s="2058"/>
      <c r="G13" s="2058"/>
      <c r="H13" s="2058"/>
      <c r="I13" s="2053"/>
      <c r="J13" s="2813"/>
    </row>
    <row r="14" spans="1:15" ht="13.2">
      <c r="A14" s="3449" t="s">
        <v>1671</v>
      </c>
      <c r="B14" s="3449">
        <v>30</v>
      </c>
      <c r="C14" s="3458">
        <v>7</v>
      </c>
      <c r="D14" s="3471">
        <v>3</v>
      </c>
      <c r="E14" s="12" t="s">
        <v>1672</v>
      </c>
      <c r="F14" s="2058"/>
      <c r="G14" s="2058"/>
      <c r="H14" s="2058"/>
      <c r="I14" s="2053"/>
      <c r="J14" s="2813"/>
    </row>
    <row r="15" spans="1:15" ht="13.2">
      <c r="A15" s="3449"/>
      <c r="B15" s="3449"/>
      <c r="C15" s="3474"/>
      <c r="D15" s="3471"/>
      <c r="E15" s="12" t="s">
        <v>1673</v>
      </c>
      <c r="F15" s="2058"/>
      <c r="G15" s="2058"/>
      <c r="H15" s="2058"/>
      <c r="I15" s="2053"/>
      <c r="J15" s="2813"/>
    </row>
    <row r="16" spans="1:15" ht="13.2">
      <c r="A16" s="3449"/>
      <c r="B16" s="3449"/>
      <c r="C16" s="3459"/>
      <c r="D16" s="3471"/>
      <c r="E16" s="12" t="s">
        <v>1674</v>
      </c>
      <c r="F16" s="2058"/>
      <c r="G16" s="2058"/>
      <c r="H16" s="2058"/>
      <c r="I16" s="2053"/>
      <c r="J16" s="2813"/>
    </row>
    <row r="17" spans="1:36" ht="14.4">
      <c r="A17" s="2682" t="s">
        <v>1675</v>
      </c>
      <c r="B17" s="2063"/>
      <c r="C17" s="2683">
        <f>SUM(C5:C16)</f>
        <v>7</v>
      </c>
      <c r="D17" s="2683">
        <f>SUM(D5:D16)</f>
        <v>3</v>
      </c>
      <c r="E17" s="2532"/>
      <c r="F17" s="2532"/>
      <c r="G17" s="2532"/>
      <c r="H17" s="2532"/>
      <c r="I17" s="2532"/>
      <c r="J17" s="2814"/>
    </row>
    <row r="18" spans="1:36" ht="30" customHeight="1" thickBot="1">
      <c r="A18" s="2684" t="s">
        <v>1676</v>
      </c>
      <c r="B18" s="2685"/>
      <c r="C18" s="2686">
        <f>ROUND(C17/SUM(C17:D17),2)</f>
        <v>0.7</v>
      </c>
      <c r="D18" s="2686">
        <f>1-C18</f>
        <v>0.30000000000000004</v>
      </c>
      <c r="E18" s="3467" t="s">
        <v>2760</v>
      </c>
      <c r="F18" s="3468"/>
      <c r="G18" s="3468"/>
      <c r="H18" s="3468"/>
      <c r="I18" s="3468"/>
      <c r="J18" s="2814"/>
      <c r="K18" s="3318" t="s">
        <v>3010</v>
      </c>
    </row>
    <row r="19" spans="1:36" ht="14.4">
      <c r="A19" s="2687" t="s">
        <v>1677</v>
      </c>
      <c r="B19" s="2688" t="s">
        <v>1678</v>
      </c>
      <c r="C19" s="2689">
        <f ca="1">SUMIF(INDIRECT("'"&amp;C4&amp;"'"&amp;"!A:A"),结果表!B19,INDIRECT("'"&amp;C4&amp;"'"&amp;"!B:B"))</f>
        <v>393</v>
      </c>
      <c r="D19" s="2690">
        <f ca="1">SUMIF(INDIRECT("'"&amp;D4&amp;"'"&amp;"!A:A"),结果表!B19,INDIRECT("'"&amp;D4&amp;"'"&amp;"!B:B"))</f>
        <v>294</v>
      </c>
      <c r="E19" s="2687" t="s">
        <v>1679</v>
      </c>
      <c r="F19" s="2688" t="s">
        <v>1678</v>
      </c>
      <c r="G19" s="2691">
        <f ca="1">ROUND(C19*$C$18+D19*$D$18,0)</f>
        <v>363</v>
      </c>
      <c r="H19" s="2692" t="str">
        <f>'数据-取费表'!B3</f>
        <v>万元</v>
      </c>
      <c r="I19" s="2740"/>
      <c r="J19" s="2815"/>
      <c r="K19" s="659">
        <v>444</v>
      </c>
      <c r="L19" s="659">
        <f ca="1">G19-K19</f>
        <v>-81</v>
      </c>
    </row>
    <row r="20" spans="1:36" ht="14.4">
      <c r="A20" s="2693"/>
      <c r="B20" s="1663" t="s">
        <v>1680</v>
      </c>
      <c r="C20" s="1888">
        <f ca="1">SUMIF(INDIRECT("'"&amp;C4&amp;"'"&amp;"!A:A"),结果表!B20,INDIRECT("'"&amp;C4&amp;"'"&amp;"!B:B"))</f>
        <v>31287</v>
      </c>
      <c r="D20" s="1891">
        <f ca="1">SUMIF(INDIRECT("'"&amp;D4&amp;"'"&amp;"!A:A"),结果表!B20,INDIRECT("'"&amp;D4&amp;"'"&amp;"!B:B"))</f>
        <v>23412</v>
      </c>
      <c r="E20" s="2693"/>
      <c r="F20" s="1663" t="s">
        <v>1680</v>
      </c>
      <c r="G20" s="2062">
        <f ca="1">ROUND(C20*$C$18+D20*$D$18,0)</f>
        <v>28925</v>
      </c>
      <c r="H20" s="2694" t="s">
        <v>1681</v>
      </c>
      <c r="I20" s="2532"/>
      <c r="J20" s="2814"/>
      <c r="K20" s="659">
        <v>38125</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8" thickBot="1">
      <c r="A23" s="2532"/>
      <c r="B23" s="2532"/>
      <c r="C23" s="2532"/>
      <c r="D23" s="2532"/>
      <c r="E23" s="947"/>
      <c r="F23" s="947"/>
      <c r="G23" s="947"/>
      <c r="H23" s="947"/>
      <c r="I23" s="947"/>
      <c r="J23" s="2814"/>
    </row>
    <row r="24" spans="1:36" ht="21.75" customHeight="1">
      <c r="A24" s="3460" t="s">
        <v>1683</v>
      </c>
      <c r="B24" s="2688" t="s">
        <v>1678</v>
      </c>
      <c r="C24" s="2691">
        <f>D30</f>
        <v>0</v>
      </c>
      <c r="D24" s="2643"/>
      <c r="E24" s="947"/>
      <c r="F24" s="947"/>
      <c r="G24" s="947"/>
      <c r="H24" s="947"/>
      <c r="I24" s="947"/>
      <c r="J24" s="2814"/>
    </row>
    <row r="25" spans="1:36" ht="21.75" customHeight="1">
      <c r="A25" s="3477"/>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3.8">
      <c r="A27" s="2708"/>
      <c r="B27" s="2706">
        <v>0</v>
      </c>
      <c r="C27" s="2706">
        <v>0</v>
      </c>
      <c r="D27" s="2707">
        <f>ROUND(C27*B27/10000,0)</f>
        <v>0</v>
      </c>
      <c r="E27" s="947"/>
      <c r="F27" s="947"/>
      <c r="G27" s="947"/>
      <c r="H27" s="947"/>
      <c r="I27" s="947"/>
      <c r="J27" s="2814"/>
    </row>
    <row r="28" spans="1:36" ht="13.8">
      <c r="A28" s="2705"/>
      <c r="B28" s="2706"/>
      <c r="C28" s="2706"/>
      <c r="D28" s="2707">
        <f t="shared" ref="D28:D29" si="0">ROUND(C28*B28/10000,0)</f>
        <v>0</v>
      </c>
      <c r="E28" s="947"/>
      <c r="F28" s="947"/>
      <c r="G28" s="947"/>
      <c r="H28" s="947"/>
      <c r="I28" s="947"/>
      <c r="J28" s="2814"/>
    </row>
    <row r="29" spans="1:36" ht="13.8">
      <c r="A29" s="2705"/>
      <c r="B29" s="2706"/>
      <c r="C29" s="2706"/>
      <c r="D29" s="2707">
        <f t="shared" si="0"/>
        <v>0</v>
      </c>
      <c r="E29" s="947"/>
      <c r="F29" s="947"/>
      <c r="G29" s="947"/>
      <c r="H29" s="947"/>
      <c r="I29" s="947"/>
      <c r="J29" s="2814"/>
    </row>
    <row r="30" spans="1:36" ht="15" thickBot="1">
      <c r="A30" s="2742" t="s">
        <v>1688</v>
      </c>
      <c r="B30" s="2742"/>
      <c r="C30" s="2742"/>
      <c r="D30" s="2742"/>
      <c r="E30" s="2709" t="s">
        <v>2764</v>
      </c>
      <c r="F30" s="2532"/>
      <c r="G30" s="2532"/>
      <c r="H30" s="2532"/>
      <c r="I30" s="2532"/>
      <c r="J30" s="2814"/>
    </row>
    <row r="31" spans="1:36" s="2807" customFormat="1" ht="26.4"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5.6" thickTop="1" thickBot="1">
      <c r="A32" s="2795" t="s">
        <v>1689</v>
      </c>
      <c r="B32" s="2796" t="str">
        <f>'数据-取费表'!B4</f>
        <v>总价</v>
      </c>
      <c r="C32" s="2797">
        <f ca="1">IF(B32="总价",G19-C24,G20-C25)</f>
        <v>363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4.4">
      <c r="A33" s="2710" t="s">
        <v>1690</v>
      </c>
      <c r="B33" s="255"/>
      <c r="C33" s="2711"/>
      <c r="D33" s="2712"/>
      <c r="E33" s="2713" t="s">
        <v>1691</v>
      </c>
      <c r="F33" s="2714" t="str">
        <f>IF(B32="楼面单价","取值（单价）","取值（总价）")</f>
        <v>取值（总价）</v>
      </c>
      <c r="G33" s="947"/>
      <c r="H33" s="947"/>
      <c r="I33" s="947"/>
      <c r="J33" s="2814"/>
    </row>
    <row r="34" spans="1:17" ht="14.4">
      <c r="A34" s="1435"/>
      <c r="B34" s="2715" t="s">
        <v>1692</v>
      </c>
      <c r="C34" s="2716">
        <f ca="1">IF(D33="自定义",F34,C32-C35)</f>
        <v>302</v>
      </c>
      <c r="D34" s="2717">
        <f ca="1">IF(D33="自定义",ROUND(C34/C32,3),1-D35)</f>
        <v>0.83199999999999996</v>
      </c>
      <c r="E34" s="1404" t="s">
        <v>1693</v>
      </c>
      <c r="F34" s="2718">
        <v>2000</v>
      </c>
      <c r="G34" s="947"/>
      <c r="H34" s="947"/>
      <c r="I34" s="947"/>
      <c r="J34" s="2814"/>
    </row>
    <row r="35" spans="1:17" ht="15" thickBot="1">
      <c r="A35" s="1436"/>
      <c r="B35" s="2719" t="s">
        <v>1694</v>
      </c>
      <c r="C35" s="2720">
        <f ca="1">IF(D33="自定义",F35,ROUND(C32*D35,0))</f>
        <v>61</v>
      </c>
      <c r="D35" s="2721">
        <f ca="1">IF(D33="自定义",ROUND(C35/C32,3),IF(D33="成本法成本比率",成本法!C56,IF(D33="收益法收益比率",收益法!J38,收益法!J41)))</f>
        <v>0.16800000000000001</v>
      </c>
      <c r="E35" s="2722" t="s">
        <v>1695</v>
      </c>
      <c r="F35" s="2723">
        <v>4460</v>
      </c>
      <c r="G35" s="947"/>
      <c r="H35" s="947"/>
      <c r="I35" s="947"/>
      <c r="J35" s="2814"/>
    </row>
    <row r="36" spans="1:17" ht="15" thickBot="1">
      <c r="A36" s="3460" t="s">
        <v>1696</v>
      </c>
      <c r="B36" s="1437" t="s">
        <v>1697</v>
      </c>
      <c r="C36" s="2724">
        <v>0</v>
      </c>
      <c r="D36" s="2725"/>
      <c r="E36" s="1649"/>
      <c r="F36" s="1649"/>
      <c r="G36" s="947"/>
      <c r="H36" s="947"/>
      <c r="I36" s="947"/>
      <c r="J36" s="2814"/>
    </row>
    <row r="37" spans="1:17" ht="15" thickBot="1">
      <c r="A37" s="3461"/>
      <c r="B37" s="2063" t="s">
        <v>1698</v>
      </c>
      <c r="C37" s="2726">
        <v>0</v>
      </c>
      <c r="D37" s="1280"/>
      <c r="E37" s="1280"/>
      <c r="F37" s="1649"/>
      <c r="G37" s="1280"/>
      <c r="H37" s="1280"/>
      <c r="I37" s="1280"/>
      <c r="J37" s="2818"/>
    </row>
    <row r="38" spans="1:17" ht="15" thickBot="1">
      <c r="A38" s="3462"/>
      <c r="B38" s="1438" t="s">
        <v>1699</v>
      </c>
      <c r="C38" s="2727">
        <v>0</v>
      </c>
      <c r="D38" s="2728" t="s">
        <v>1700</v>
      </c>
      <c r="E38" s="1280"/>
      <c r="F38" s="1649"/>
      <c r="G38" s="1280"/>
      <c r="H38" s="1280"/>
      <c r="I38" s="1280"/>
      <c r="J38" s="2818"/>
    </row>
    <row r="39" spans="1:17" ht="14.4">
      <c r="A39" s="2693" t="s">
        <v>1701</v>
      </c>
      <c r="B39" s="2729" t="s">
        <v>1685</v>
      </c>
      <c r="C39" s="2730" t="s">
        <v>1686</v>
      </c>
      <c r="D39" s="2730" t="s">
        <v>1702</v>
      </c>
      <c r="E39" s="2731" t="s">
        <v>1687</v>
      </c>
      <c r="F39" s="1649"/>
      <c r="G39" s="1280"/>
      <c r="H39" s="1280"/>
      <c r="I39" s="1280"/>
      <c r="J39" s="2818"/>
    </row>
    <row r="40" spans="1:17" ht="13.8">
      <c r="A40" s="2732" t="s">
        <v>1703</v>
      </c>
      <c r="B40" s="2733"/>
      <c r="C40" s="2734"/>
      <c r="D40" s="2734"/>
      <c r="E40" s="2735"/>
      <c r="F40" s="1649"/>
      <c r="G40" s="1280"/>
      <c r="H40" s="1280"/>
      <c r="I40" s="1280"/>
      <c r="J40" s="2818"/>
    </row>
    <row r="41" spans="1:17" ht="13.8">
      <c r="A41" s="2732" t="s">
        <v>1704</v>
      </c>
      <c r="B41" s="2733"/>
      <c r="C41" s="2734"/>
      <c r="D41" s="2734"/>
      <c r="E41" s="2735"/>
      <c r="F41" s="1649"/>
      <c r="G41" s="1280"/>
      <c r="H41" s="1280"/>
      <c r="I41" s="1280"/>
      <c r="J41" s="2818"/>
    </row>
    <row r="42" spans="1:17" ht="14.4" thickBot="1">
      <c r="A42" s="2736"/>
      <c r="B42" s="2737"/>
      <c r="C42" s="2738"/>
      <c r="D42" s="2738"/>
      <c r="E42" s="2723"/>
      <c r="F42" s="1649"/>
      <c r="G42" s="1280"/>
      <c r="H42" s="1280"/>
      <c r="I42" s="1280"/>
      <c r="J42" s="2818"/>
    </row>
    <row r="43" spans="1:17" ht="13.2">
      <c r="A43" s="2944"/>
      <c r="B43" s="2944"/>
      <c r="C43" s="2944"/>
      <c r="D43" s="2944"/>
      <c r="E43" s="2944"/>
      <c r="F43" s="2943"/>
      <c r="G43" s="2943"/>
      <c r="H43" s="2943"/>
      <c r="I43" s="2631"/>
      <c r="J43" s="2819"/>
    </row>
    <row r="44" spans="1:17" ht="17.399999999999999">
      <c r="A44" s="1440" t="s">
        <v>1705</v>
      </c>
      <c r="B44" s="1441"/>
      <c r="C44" s="1441"/>
      <c r="D44" s="1442"/>
      <c r="E44" s="1442"/>
      <c r="F44" s="1443"/>
      <c r="G44" s="1443"/>
      <c r="H44" s="1443"/>
      <c r="I44" s="2808" t="s">
        <v>2759</v>
      </c>
      <c r="J44" s="2820"/>
      <c r="K44" s="1444" t="s">
        <v>1706</v>
      </c>
      <c r="L44" s="1445"/>
      <c r="M44" s="1445"/>
      <c r="N44" s="1445"/>
      <c r="O44" s="1445"/>
      <c r="P44" s="1445"/>
      <c r="Q44" s="1277"/>
    </row>
    <row r="45" spans="1:17" ht="14.25" customHeight="1" thickBot="1">
      <c r="A45" s="3464" t="s">
        <v>1707</v>
      </c>
      <c r="B45" s="3465"/>
      <c r="C45" s="3424"/>
      <c r="D45" s="246">
        <f ca="1">ROUND(I102*F45,0)</f>
        <v>363</v>
      </c>
      <c r="E45" s="1511" t="s">
        <v>1708</v>
      </c>
      <c r="F45" s="2530">
        <v>1</v>
      </c>
      <c r="G45" s="2531" t="s">
        <v>1709</v>
      </c>
      <c r="H45" s="947"/>
      <c r="I45" s="947"/>
      <c r="J45" s="2814"/>
      <c r="K45" s="3518" t="s">
        <v>2689</v>
      </c>
      <c r="L45" s="3518"/>
      <c r="M45" s="3518"/>
      <c r="N45" s="3518"/>
      <c r="O45" s="3518"/>
      <c r="P45" s="3518"/>
      <c r="Q45" s="1277"/>
    </row>
    <row r="46" spans="1:17" ht="14.25" customHeight="1">
      <c r="A46" s="3453" t="s">
        <v>1711</v>
      </c>
      <c r="B46" s="3454"/>
      <c r="C46" s="3454"/>
      <c r="D46" s="3454"/>
      <c r="E46" s="3454"/>
      <c r="F46" s="3454"/>
      <c r="G46" s="3455"/>
      <c r="H46" s="2946"/>
      <c r="I46" s="947"/>
      <c r="J46" s="2814"/>
      <c r="K46" s="2505">
        <v>1</v>
      </c>
      <c r="L46" s="3519" t="s">
        <v>2690</v>
      </c>
      <c r="M46" s="3519"/>
      <c r="N46" s="3520" t="str">
        <f>项目基本情况!B1</f>
        <v>北京市房地产抵押价值预评估</v>
      </c>
      <c r="O46" s="3520"/>
      <c r="P46" s="3520"/>
      <c r="Q46" s="1277"/>
    </row>
    <row r="47" spans="1:17" ht="12" customHeight="1">
      <c r="A47" s="38" t="s">
        <v>1713</v>
      </c>
      <c r="B47" s="39"/>
      <c r="C47" s="40"/>
      <c r="D47" s="1069" t="s">
        <v>1714</v>
      </c>
      <c r="E47" s="235" t="s">
        <v>1715</v>
      </c>
      <c r="F47" s="41" t="s">
        <v>1716</v>
      </c>
      <c r="G47" s="2533" t="s">
        <v>1717</v>
      </c>
      <c r="H47" s="2946"/>
      <c r="I47" s="947"/>
      <c r="J47" s="2814"/>
      <c r="K47" s="2505">
        <v>2</v>
      </c>
      <c r="L47" s="3519" t="s">
        <v>2691</v>
      </c>
      <c r="M47" s="3519"/>
      <c r="N47" s="3521">
        <f>'数据-取费表'!B2</f>
        <v>44561</v>
      </c>
      <c r="O47" s="3521"/>
      <c r="P47" s="3521"/>
      <c r="Q47" s="1277"/>
    </row>
    <row r="48" spans="1:17" ht="26.4">
      <c r="A48" s="3463" t="s">
        <v>1719</v>
      </c>
      <c r="B48" s="3417"/>
      <c r="C48" s="3417"/>
      <c r="D48" s="12">
        <f ca="1">IF(H48="情况1",0,IF(H48="情况2",D52,IF(H48="情况3",D53,IF(H48="情况4",D54))))</f>
        <v>19</v>
      </c>
      <c r="E48" s="2061" t="str">
        <f>IF(H48="情况4","(销售额-原购置价)×税（费）率","销售额×税（费）率")</f>
        <v>销售额×税（费）率</v>
      </c>
      <c r="F48" s="2534">
        <f>IF(H48="情况1","免征",'数据-取费表'!E29)</f>
        <v>5.6000000000000001E-2</v>
      </c>
      <c r="G48" s="2535" t="s">
        <v>1720</v>
      </c>
      <c r="H48" s="2536" t="s">
        <v>1721</v>
      </c>
      <c r="I48" s="2946"/>
      <c r="J48" s="2821"/>
      <c r="K48" s="2505">
        <v>3</v>
      </c>
      <c r="L48" s="3519" t="s">
        <v>2692</v>
      </c>
      <c r="M48" s="3519"/>
      <c r="N48" s="3520">
        <f ca="1">I102</f>
        <v>363</v>
      </c>
      <c r="O48" s="3520"/>
      <c r="P48" s="3520"/>
      <c r="Q48" s="1277"/>
    </row>
    <row r="49" spans="1:17" ht="25.5" customHeight="1">
      <c r="A49" s="2060" t="s">
        <v>1723</v>
      </c>
      <c r="B49" s="3456" t="s">
        <v>1724</v>
      </c>
      <c r="C49" s="3456"/>
      <c r="D49" s="2537">
        <v>0</v>
      </c>
      <c r="E49" s="261" t="s">
        <v>1725</v>
      </c>
      <c r="F49" s="2538" t="s">
        <v>48</v>
      </c>
      <c r="G49" s="3513"/>
      <c r="H49" s="2539" t="s">
        <v>2766</v>
      </c>
      <c r="I49" s="2540"/>
      <c r="J49" s="2822"/>
      <c r="K49" s="2505">
        <v>4</v>
      </c>
      <c r="L49" s="3519" t="str">
        <f>IF(项目基本情况!F5="房地产抵押价值","房地产抵押价值","抵押担保权已注销时的房地产抵押价值")</f>
        <v>房地产抵押价值</v>
      </c>
      <c r="M49" s="3519"/>
      <c r="N49" s="3520">
        <f ca="1">IF(项目基本情况!F5="房地产抵押价值",I110,I112)</f>
        <v>363</v>
      </c>
      <c r="O49" s="3520"/>
      <c r="P49" s="3520"/>
      <c r="Q49" s="1277"/>
    </row>
    <row r="50" spans="1:17" ht="25.5" customHeight="1">
      <c r="A50" s="2050"/>
      <c r="B50" s="3456" t="s">
        <v>1726</v>
      </c>
      <c r="C50" s="3456"/>
      <c r="D50" s="2541"/>
      <c r="E50" s="269"/>
      <c r="F50" s="2538"/>
      <c r="G50" s="3514"/>
      <c r="H50" s="2542" t="s">
        <v>2685</v>
      </c>
      <c r="I50" s="2540"/>
      <c r="J50" s="2822"/>
      <c r="K50" s="3519" t="s">
        <v>2693</v>
      </c>
      <c r="L50" s="3519"/>
      <c r="M50" s="3519"/>
      <c r="N50" s="3519"/>
      <c r="O50" s="3519"/>
      <c r="P50" s="3519"/>
      <c r="Q50" s="1277"/>
    </row>
    <row r="51" spans="1:17" ht="20.399999999999999" customHeight="1">
      <c r="A51" s="2543"/>
      <c r="B51" s="3456" t="s">
        <v>1728</v>
      </c>
      <c r="C51" s="3456"/>
      <c r="D51" s="1069"/>
      <c r="E51" s="264"/>
      <c r="F51" s="2538"/>
      <c r="G51" s="3515"/>
      <c r="H51" s="2542" t="s">
        <v>2686</v>
      </c>
      <c r="I51" s="2540"/>
      <c r="J51" s="2822"/>
      <c r="K51" s="2506" t="s">
        <v>2694</v>
      </c>
      <c r="L51" s="3519" t="s">
        <v>2695</v>
      </c>
      <c r="M51" s="3519"/>
      <c r="N51" s="2506" t="s">
        <v>2696</v>
      </c>
      <c r="O51" s="2506" t="s">
        <v>2697</v>
      </c>
      <c r="P51" s="2506" t="s">
        <v>2698</v>
      </c>
      <c r="Q51" s="1277"/>
    </row>
    <row r="52" spans="1:17" ht="24" customHeight="1">
      <c r="A52" s="2051" t="s">
        <v>1734</v>
      </c>
      <c r="B52" s="3456" t="s">
        <v>1735</v>
      </c>
      <c r="C52" s="3456"/>
      <c r="D52" s="1069">
        <f ca="1">ROUND(D45*'数据-取费表'!E29/(1+'数据-取费表'!F30),0)</f>
        <v>19</v>
      </c>
      <c r="E52" s="2061" t="s">
        <v>1736</v>
      </c>
      <c r="F52" s="2544">
        <f>'数据-取费表'!E29</f>
        <v>5.6000000000000001E-2</v>
      </c>
      <c r="G52" s="2545"/>
      <c r="H52" s="947"/>
      <c r="I52" s="2947"/>
      <c r="J52" s="2822"/>
      <c r="K52" s="2505">
        <v>1</v>
      </c>
      <c r="L52" s="3486" t="s">
        <v>2699</v>
      </c>
      <c r="M52" s="3486"/>
      <c r="N52" s="2507">
        <f ca="1">D48</f>
        <v>19</v>
      </c>
      <c r="O52" s="2505" t="str">
        <f>E48</f>
        <v>销售额×税（费）率</v>
      </c>
      <c r="P52" s="2508">
        <f>F48</f>
        <v>5.6000000000000001E-2</v>
      </c>
      <c r="Q52" s="1277"/>
    </row>
    <row r="53" spans="1:17" ht="12" customHeight="1">
      <c r="A53" s="2051" t="s">
        <v>1738</v>
      </c>
      <c r="B53" s="3418" t="s">
        <v>2778</v>
      </c>
      <c r="C53" s="3457"/>
      <c r="D53" s="1069">
        <f ca="1">ROUND(D45*'数据-取费表'!E29/(1+'数据-取费表'!F30),0)</f>
        <v>19</v>
      </c>
      <c r="E53" s="2061" t="s">
        <v>1736</v>
      </c>
      <c r="F53" s="2544">
        <f>'数据-取费表'!E29</f>
        <v>5.6000000000000001E-2</v>
      </c>
      <c r="G53" s="2545"/>
      <c r="H53" s="947"/>
      <c r="I53" s="2947"/>
      <c r="J53" s="2822"/>
      <c r="K53" s="2505">
        <v>2</v>
      </c>
      <c r="L53" s="3486" t="s">
        <v>2700</v>
      </c>
      <c r="M53" s="3486"/>
      <c r="N53" s="2507">
        <f t="shared" ref="N53:P54" si="1">D55</f>
        <v>0</v>
      </c>
      <c r="O53" s="2505" t="str">
        <f t="shared" si="1"/>
        <v>销售额×税（费）率</v>
      </c>
      <c r="P53" s="2508" t="str">
        <f t="shared" si="1"/>
        <v>免征</v>
      </c>
      <c r="Q53" s="1277"/>
    </row>
    <row r="54" spans="1:17" ht="12" customHeight="1">
      <c r="A54" s="2051" t="s">
        <v>1740</v>
      </c>
      <c r="B54" s="3418" t="s">
        <v>2779</v>
      </c>
      <c r="C54" s="3457"/>
      <c r="D54" s="1069">
        <f ca="1">C68</f>
        <v>19</v>
      </c>
      <c r="E54" s="264" t="s">
        <v>1741</v>
      </c>
      <c r="F54" s="2544">
        <f>'数据-取费表'!E29</f>
        <v>5.6000000000000001E-2</v>
      </c>
      <c r="G54" s="2545"/>
      <c r="H54" s="2948"/>
      <c r="I54" s="2947"/>
      <c r="J54" s="2822"/>
      <c r="K54" s="2505">
        <v>3</v>
      </c>
      <c r="L54" s="3486" t="s">
        <v>2701</v>
      </c>
      <c r="M54" s="3486"/>
      <c r="N54" s="2507">
        <f t="shared" si="1"/>
        <v>0</v>
      </c>
      <c r="O54" s="2505" t="str">
        <f t="shared" si="1"/>
        <v>增值额×税（费）率</v>
      </c>
      <c r="P54" s="2509" t="str">
        <f t="shared" si="1"/>
        <v>免征</v>
      </c>
      <c r="Q54" s="1277"/>
    </row>
    <row r="55" spans="1:17" ht="24" customHeight="1">
      <c r="A55" s="3416" t="s">
        <v>1743</v>
      </c>
      <c r="B55" s="3417"/>
      <c r="C55" s="3417"/>
      <c r="D55" s="12">
        <f>IF(H55="个人住宅",0,ROUND(D45*I55,0))</f>
        <v>0</v>
      </c>
      <c r="E55" s="2061" t="s">
        <v>1744</v>
      </c>
      <c r="F55" s="2544" t="str">
        <f>IF(H55="正常",I55,"免征")</f>
        <v>免征</v>
      </c>
      <c r="G55" s="2545"/>
      <c r="H55" s="2536" t="s">
        <v>2682</v>
      </c>
      <c r="I55" s="74">
        <f>'数据-取费表'!E37</f>
        <v>5.0000000000000001E-4</v>
      </c>
      <c r="J55" s="2822"/>
      <c r="K55" s="2505" t="str">
        <f>IF(H59="非个人房产","",4)</f>
        <v/>
      </c>
      <c r="L55" s="3486" t="str">
        <f>IF(H59="非个人房产","——","个人所得税")</f>
        <v>——</v>
      </c>
      <c r="M55" s="3486"/>
      <c r="N55" s="2510" t="str">
        <f>D59</f>
        <v>——</v>
      </c>
      <c r="O55" s="2511" t="str">
        <f>E59</f>
        <v>——</v>
      </c>
      <c r="P55" s="2512" t="str">
        <f>F59</f>
        <v>——</v>
      </c>
      <c r="Q55" s="1277"/>
    </row>
    <row r="56" spans="1:17" ht="25.2">
      <c r="A56" s="3416" t="s">
        <v>1746</v>
      </c>
      <c r="B56" s="3417"/>
      <c r="C56" s="3417"/>
      <c r="D56" s="12">
        <f>IF(H56="个人住宅",D57,D58)</f>
        <v>0</v>
      </c>
      <c r="E56" s="2061" t="s">
        <v>1747</v>
      </c>
      <c r="F56" s="2544" t="str">
        <f>IF(H56="正常",F58,"免征")</f>
        <v>免征</v>
      </c>
      <c r="G56" s="2546" t="s">
        <v>1748</v>
      </c>
      <c r="H56" s="2547" t="s">
        <v>2682</v>
      </c>
      <c r="I56" s="2949"/>
      <c r="J56" s="2822"/>
      <c r="K56" s="2505" t="str">
        <f>IF(项目基本情况!I6="上海银行",IF(K55="",4,K55+1),"")</f>
        <v/>
      </c>
      <c r="L56" s="3500" t="str">
        <f>IF(项目基本情况!I6="上海银行","其他处置费用","")</f>
        <v/>
      </c>
      <c r="M56" s="3501"/>
      <c r="N56" s="2507" t="str">
        <f>IF(项目基本情况!I6="上海银行",N69,"")</f>
        <v/>
      </c>
      <c r="O56" s="3500" t="str">
        <f>IF(项目基本情况!I6="上海银行","包含处置中涉及的律师、诉讼、拍卖、评估等费用","")</f>
        <v/>
      </c>
      <c r="P56" s="3512"/>
      <c r="Q56" s="1277"/>
    </row>
    <row r="57" spans="1:17" ht="13.2">
      <c r="A57" s="2051" t="s">
        <v>1723</v>
      </c>
      <c r="B57" s="3418" t="s">
        <v>1749</v>
      </c>
      <c r="C57" s="3457"/>
      <c r="D57" s="2537">
        <v>0</v>
      </c>
      <c r="E57" s="261" t="s">
        <v>1725</v>
      </c>
      <c r="F57" s="235"/>
      <c r="G57" s="2545"/>
      <c r="H57" s="2949"/>
      <c r="I57" s="2949"/>
      <c r="J57" s="2822"/>
      <c r="K57" s="3486">
        <f>IF(AND(K55="",K56=""),4,IF(项目基本情况!I6="上海银行",K56+1,K55+1))</f>
        <v>4</v>
      </c>
      <c r="L57" s="3486" t="s">
        <v>2702</v>
      </c>
      <c r="M57" s="2513" t="s">
        <v>2703</v>
      </c>
      <c r="N57" s="2514"/>
      <c r="O57" s="2515">
        <f ca="1">SUMIF(N52:N56,"&lt;9e307")</f>
        <v>19</v>
      </c>
      <c r="P57" s="2516"/>
      <c r="Q57" s="1275">
        <f ca="1">O57/N49</f>
        <v>5.2341597796143252E-2</v>
      </c>
    </row>
    <row r="58" spans="1:17" ht="25.2">
      <c r="A58" s="2051" t="s">
        <v>1734</v>
      </c>
      <c r="B58" s="3418" t="s">
        <v>1752</v>
      </c>
      <c r="C58" s="3456"/>
      <c r="D58" s="12">
        <f ca="1">IF(H58="转让取得",C81,C97)</f>
        <v>206</v>
      </c>
      <c r="E58" s="2061" t="s">
        <v>1747</v>
      </c>
      <c r="F58" s="235" t="s">
        <v>48</v>
      </c>
      <c r="G58" s="2545"/>
      <c r="H58" s="2547" t="s">
        <v>1753</v>
      </c>
      <c r="I58" s="2949"/>
      <c r="J58" s="2822"/>
      <c r="K58" s="3486"/>
      <c r="L58" s="3486"/>
      <c r="M58" s="2513" t="s">
        <v>2704</v>
      </c>
      <c r="N58" s="2517"/>
      <c r="O58" s="2518" t="str">
        <f ca="1">IF(H19="元",NUMBERSTRING(INT(O57),2)&amp;"元整",NUMBERSTRING(INT(O57*10000),2)&amp;"元整")</f>
        <v>壹拾玖万元整</v>
      </c>
      <c r="P58" s="2519"/>
      <c r="Q58" s="1277"/>
    </row>
    <row r="59" spans="1:17" ht="24.6" thickBot="1">
      <c r="A59" s="3440" t="s">
        <v>1755</v>
      </c>
      <c r="B59" s="3441"/>
      <c r="C59" s="3441"/>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2757</v>
      </c>
      <c r="H59" s="2065" t="s">
        <v>2767</v>
      </c>
      <c r="I59" s="2851" t="s">
        <v>2768</v>
      </c>
      <c r="J59" s="2822"/>
      <c r="K59" s="3484">
        <f>K57+1</f>
        <v>5</v>
      </c>
      <c r="L59" s="3486" t="s">
        <v>2705</v>
      </c>
      <c r="M59" s="2505" t="s">
        <v>2703</v>
      </c>
      <c r="N59" s="2520"/>
      <c r="O59" s="2521">
        <f ca="1">N49-O57</f>
        <v>344</v>
      </c>
      <c r="P59" s="2522"/>
      <c r="Q59" s="1277"/>
    </row>
    <row r="60" spans="1:17" ht="12" customHeight="1">
      <c r="A60" s="1426"/>
      <c r="B60" s="1430"/>
      <c r="C60" s="1430"/>
      <c r="D60" s="1430"/>
      <c r="E60" s="812"/>
      <c r="F60" s="2950"/>
      <c r="G60" s="2950"/>
      <c r="H60" s="2951"/>
      <c r="I60" s="31"/>
      <c r="K60" s="3485"/>
      <c r="L60" s="3486"/>
      <c r="M60" s="2513" t="s">
        <v>2704</v>
      </c>
      <c r="N60" s="2517"/>
      <c r="O60" s="2518" t="str">
        <f ca="1">IF(H19="元",NUMBERSTRING(INT(O59),2)&amp;"元整",NUMBERSTRING(INT(O59*10000),2)&amp;"元整")</f>
        <v>叁佰肆拾肆万元整</v>
      </c>
      <c r="P60" s="2519"/>
      <c r="Q60" s="1277"/>
    </row>
    <row r="61" spans="1:17" ht="13.8" thickBot="1">
      <c r="A61" s="3466" t="s">
        <v>1757</v>
      </c>
      <c r="B61" s="3466"/>
      <c r="C61" s="3466"/>
      <c r="D61" s="3466"/>
      <c r="E61" s="3466"/>
      <c r="F61" s="2950"/>
      <c r="G61" s="2950"/>
      <c r="H61" s="2952"/>
      <c r="I61" s="31"/>
      <c r="K61" s="2505">
        <f>K59+1</f>
        <v>6</v>
      </c>
      <c r="L61" s="3486" t="s">
        <v>2706</v>
      </c>
      <c r="M61" s="3486"/>
      <c r="N61" s="2523"/>
      <c r="O61" s="2524">
        <f ca="1">IF(H19="元",ROUND(O59/项目基本情况!C12,0),ROUND(O59*10000/项目基本情况!C12,0))</f>
        <v>8744</v>
      </c>
      <c r="P61" s="2525"/>
      <c r="Q61" s="1277"/>
    </row>
    <row r="62" spans="1:17" ht="13.2">
      <c r="A62" s="3475" t="s">
        <v>1759</v>
      </c>
      <c r="B62" s="3476"/>
      <c r="C62" s="1576"/>
      <c r="D62" s="1576" t="s">
        <v>1760</v>
      </c>
      <c r="E62" s="45" t="s">
        <v>1761</v>
      </c>
      <c r="F62" s="2950"/>
      <c r="G62" s="2950"/>
      <c r="H62" s="2952"/>
      <c r="I62" s="31"/>
      <c r="K62" s="2526"/>
      <c r="L62" s="2526"/>
      <c r="M62" s="2526"/>
      <c r="N62" s="2526"/>
      <c r="O62" s="2526"/>
      <c r="P62" s="2526"/>
      <c r="Q62" s="1277"/>
    </row>
    <row r="63" spans="1:17" ht="13.2">
      <c r="A63" s="46">
        <v>1</v>
      </c>
      <c r="B63" s="47" t="s">
        <v>1762</v>
      </c>
      <c r="C63" s="2753">
        <f ca="1">ROUND((C64+C65)/(1+'数据-取费表'!F30),0)</f>
        <v>346</v>
      </c>
      <c r="D63" s="47"/>
      <c r="E63" s="48"/>
      <c r="F63" s="2950"/>
      <c r="G63" s="2950"/>
      <c r="H63" s="2952"/>
      <c r="I63" s="31"/>
      <c r="K63" s="3502" t="s">
        <v>2707</v>
      </c>
      <c r="L63" s="2527" t="s">
        <v>2708</v>
      </c>
      <c r="M63" s="2527">
        <f ca="1">IF(N49&gt;10000,N49*0.5%,IF(AND(N49&gt;1000,N49&lt;=10000),N49*1%,IF(AND(N49&gt;100,N49&lt;=1000),N49*3%,IF(AND(N49&gt;10,N49&lt;=100),N49*5%,N49*8%))))</f>
        <v>10.889999999999999</v>
      </c>
      <c r="N63" s="2528">
        <f ca="1">ROUND(M63,1)</f>
        <v>10.9</v>
      </c>
      <c r="O63" s="2526"/>
      <c r="P63" s="2526"/>
      <c r="Q63" s="1277"/>
    </row>
    <row r="64" spans="1:17" ht="13.2">
      <c r="A64" s="49" t="s">
        <v>71</v>
      </c>
      <c r="B64" s="50" t="s">
        <v>1765</v>
      </c>
      <c r="C64" s="2754">
        <f ca="1">D45</f>
        <v>363</v>
      </c>
      <c r="D64" s="50" t="s">
        <v>41</v>
      </c>
      <c r="E64" s="52"/>
      <c r="F64" s="2950"/>
      <c r="G64" s="2950"/>
      <c r="H64" s="2952"/>
      <c r="I64" s="31"/>
      <c r="K64" s="3502"/>
      <c r="L64" s="2527" t="s">
        <v>2709</v>
      </c>
      <c r="M64" s="2527">
        <f ca="1">IF(N49&gt;2000,N49*0.5%,IF(AND(N49&gt;1000,N49&lt;=2000),N49*0.6%,IF(AND(N49&gt;500,N49&lt;=1000),N49*0.7%,IF(AND(N49&gt;200,N49&lt;=500),N49*0.8%,IF(AND(N49&gt;100,N49&lt;=200),N49*0.9%,IF(AND(N49&gt;50,N49&lt;=100),N49*1%,IF(AND(N49&gt;20,N49&lt;=50),N49*1.5%,IF(AND(N49&gt;10,N49&lt;=20),N49*2%,IF(AND(N49&gt;1,N49&lt;=10),N49*2.5%)))))))))</f>
        <v>2.9039999999999999</v>
      </c>
      <c r="N64" s="2528">
        <f t="shared" ref="N64:N65" ca="1" si="2">ROUND(M64,1)</f>
        <v>2.9</v>
      </c>
      <c r="O64" s="2526" t="s">
        <v>2710</v>
      </c>
      <c r="P64" s="2526"/>
      <c r="Q64" s="1277"/>
    </row>
    <row r="65" spans="1:36" ht="13.2">
      <c r="A65" s="49" t="s">
        <v>72</v>
      </c>
      <c r="B65" s="50" t="s">
        <v>1768</v>
      </c>
      <c r="C65" s="2755"/>
      <c r="D65" s="50"/>
      <c r="E65" s="52"/>
      <c r="F65" s="2950"/>
      <c r="G65" s="2950"/>
      <c r="H65" s="2952"/>
      <c r="I65" s="31"/>
      <c r="K65" s="3502"/>
      <c r="L65" s="2527" t="s">
        <v>2711</v>
      </c>
      <c r="M65" s="2527">
        <f ca="1">IF(N49&gt;1000,N49*0.1%,IF(AND(N49&gt;500,N49&lt;=1000),N49*0.5%,IF(AND(N49&gt;50,N49&lt;=500),N49*1%,IF(AND(N49&gt;1,N49&lt;=50),N49*1.5%))))</f>
        <v>3.63</v>
      </c>
      <c r="N65" s="2528">
        <f t="shared" ca="1" si="2"/>
        <v>3.6</v>
      </c>
      <c r="O65" s="2526" t="s">
        <v>2710</v>
      </c>
      <c r="P65" s="2526"/>
      <c r="Q65" s="1277"/>
    </row>
    <row r="66" spans="1:36" ht="25.2">
      <c r="A66" s="53" t="s">
        <v>47</v>
      </c>
      <c r="B66" s="54" t="s">
        <v>1770</v>
      </c>
      <c r="C66" s="2756"/>
      <c r="D66" s="54" t="s">
        <v>41</v>
      </c>
      <c r="E66" s="1285" t="s">
        <v>1771</v>
      </c>
      <c r="F66" s="2950"/>
      <c r="G66" s="2950"/>
      <c r="H66" s="2952"/>
      <c r="I66" s="31"/>
      <c r="K66" s="3502"/>
      <c r="L66" s="2527" t="s">
        <v>2712</v>
      </c>
      <c r="M66" s="2527">
        <f ca="1">N49*0.5%</f>
        <v>1.8149999999999999</v>
      </c>
      <c r="N66" s="2528">
        <f ca="1">IF(M66&gt;0.5,0.5,ROUND(M66,0))</f>
        <v>0.5</v>
      </c>
      <c r="O66" s="2526" t="s">
        <v>2713</v>
      </c>
      <c r="P66" s="2526"/>
      <c r="Q66" s="1277"/>
    </row>
    <row r="67" spans="1:36" ht="13.2">
      <c r="A67" s="53" t="s">
        <v>42</v>
      </c>
      <c r="B67" s="54" t="s">
        <v>1774</v>
      </c>
      <c r="C67" s="2757">
        <f ca="1">C63-C66</f>
        <v>346</v>
      </c>
      <c r="D67" s="50" t="s">
        <v>41</v>
      </c>
      <c r="E67" s="52"/>
      <c r="F67" s="2950"/>
      <c r="G67" s="2950"/>
      <c r="H67" s="2952"/>
      <c r="I67" s="31"/>
      <c r="K67" s="3502"/>
      <c r="L67" s="2527" t="s">
        <v>2714</v>
      </c>
      <c r="M67" s="2527">
        <f ca="1">IF(N49&gt;=10000,(8.25+(N49-10000)*0.01%),IF(AND(N49&gt;=8000,N49&lt;10000),(7.85+(N49-8000)*0.02%),IF(AND(N49&gt;=5000,N49&lt;8000),(6.65+(N49-5000)*0.04%),IF(AND(N49&gt;=2000,N49&lt;5000),(4.25+(PN49-2000)*0.08%),IF(AND(N49&gt;=1000,N49&lt;2000),(2.75+(N49-1000)*0.15%),IF(AND(N49&gt;=100,N49&lt;1000),(0.5+(N49-100)*0.25%),IF(AND(N49&gt;0,N49&lt;100),N49*0.5%)))))))</f>
        <v>1.1575</v>
      </c>
      <c r="N67" s="2528">
        <f ca="1">ROUND(M67*0.9,1)</f>
        <v>1</v>
      </c>
      <c r="O67" s="2526"/>
      <c r="P67" s="2526"/>
      <c r="Q67" s="1277"/>
    </row>
    <row r="68" spans="1:36" ht="13.8" thickBot="1">
      <c r="A68" s="55" t="s">
        <v>46</v>
      </c>
      <c r="B68" s="56" t="s">
        <v>1776</v>
      </c>
      <c r="C68" s="2758">
        <f ca="1">IF(C67&lt;=0,0,ROUND(C67*D68,0))</f>
        <v>19</v>
      </c>
      <c r="D68" s="2211">
        <f>'数据-取费表'!E29</f>
        <v>5.6000000000000001E-2</v>
      </c>
      <c r="E68" s="57"/>
      <c r="F68" s="2950"/>
      <c r="G68" s="2950"/>
      <c r="H68" s="2952"/>
      <c r="I68" s="31"/>
      <c r="K68" s="3502"/>
      <c r="L68" s="2527" t="s">
        <v>2715</v>
      </c>
      <c r="M68" s="2527">
        <f ca="1">IF(N49&gt;10000,N49*0.5%,IF(AND(N49&gt;5000,N49&lt;=10000),N49*1%,IF(AND(N49&gt;1000,N49&lt;=5000),N49*2%,IF(AND(N49&gt;200,N49&lt;=1000),N49*3%,N49*5%))))</f>
        <v>10.889999999999999</v>
      </c>
      <c r="N68" s="2528">
        <f ca="1">ROUND(M68,1)</f>
        <v>10.9</v>
      </c>
      <c r="O68" s="2526"/>
      <c r="P68" s="2526"/>
      <c r="Q68" s="1277"/>
    </row>
    <row r="69" spans="1:36" s="1434" customFormat="1" ht="7.5" customHeight="1">
      <c r="A69" s="1446"/>
      <c r="B69" s="1447"/>
      <c r="C69" s="1448"/>
      <c r="D69" s="1449"/>
      <c r="E69" s="1450"/>
      <c r="F69" s="812"/>
      <c r="G69" s="812"/>
      <c r="H69" s="1439"/>
      <c r="I69" s="1430"/>
      <c r="J69" s="2810"/>
      <c r="K69" s="3502"/>
      <c r="L69" s="2527" t="s">
        <v>54</v>
      </c>
      <c r="M69" s="2527"/>
      <c r="N69" s="2528">
        <f ca="1">ROUND(SUM(N63:N68),0)</f>
        <v>30</v>
      </c>
      <c r="O69" s="2529">
        <f ca="1">N69/N49</f>
        <v>8.2644628099173556E-2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4.4" thickBot="1">
      <c r="A70" s="3478" t="s">
        <v>1779</v>
      </c>
      <c r="B70" s="3479"/>
      <c r="C70" s="3479"/>
      <c r="D70" s="3479"/>
      <c r="E70" s="3479"/>
      <c r="F70" s="3479"/>
      <c r="G70" s="3479"/>
      <c r="H70" s="3479"/>
      <c r="I70" s="1451"/>
      <c r="J70" s="2823"/>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3.8">
      <c r="A71" s="3475" t="s">
        <v>1759</v>
      </c>
      <c r="B71" s="3476"/>
      <c r="C71" s="1576"/>
      <c r="D71" s="1576" t="s">
        <v>1760</v>
      </c>
      <c r="E71" s="58" t="s">
        <v>1761</v>
      </c>
      <c r="F71" s="59"/>
      <c r="G71" s="59"/>
      <c r="H71" s="60"/>
      <c r="I71" s="1454"/>
      <c r="J71" s="2824"/>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3.8">
      <c r="A72" s="61">
        <v>1</v>
      </c>
      <c r="B72" s="54" t="s">
        <v>1780</v>
      </c>
      <c r="C72" s="2757">
        <f ca="1">ROUND(D45/(1+'数据-取费表'!F30),0)</f>
        <v>346</v>
      </c>
      <c r="D72" s="50" t="s">
        <v>41</v>
      </c>
      <c r="E72" s="12" t="s">
        <v>1781</v>
      </c>
      <c r="F72" s="2058"/>
      <c r="G72" s="2058"/>
      <c r="H72" s="62"/>
      <c r="I72" s="1454"/>
      <c r="J72" s="2824"/>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3.8">
      <c r="A73" s="63">
        <v>2</v>
      </c>
      <c r="B73" s="41" t="s">
        <v>1782</v>
      </c>
      <c r="C73" s="2757">
        <f ca="1">C74+C78</f>
        <v>2</v>
      </c>
      <c r="D73" s="50" t="s">
        <v>41</v>
      </c>
      <c r="E73" s="2057"/>
      <c r="F73" s="2058"/>
      <c r="G73" s="2058"/>
      <c r="H73" s="62"/>
      <c r="I73" s="1454"/>
      <c r="J73" s="2824"/>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4"/>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28.8">
      <c r="A75" s="49" t="s">
        <v>74</v>
      </c>
      <c r="B75" s="50" t="s">
        <v>1784</v>
      </c>
      <c r="C75" s="2237"/>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3">
        <v>0.05</v>
      </c>
      <c r="E76" s="3418" t="s">
        <v>1789</v>
      </c>
      <c r="F76" s="3456"/>
      <c r="G76" s="3456"/>
      <c r="H76" s="3470"/>
      <c r="I76" s="1454"/>
      <c r="J76" s="2824"/>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4"/>
      <c r="G77" s="1455" t="s">
        <v>1792</v>
      </c>
      <c r="H77" s="2059" t="str">
        <f>IF(G77="个人买卖住房","免征印花税"," ")</f>
        <v xml:space="preserve"> </v>
      </c>
      <c r="I77" s="1454"/>
      <c r="J77" s="2824"/>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5">
        <f ca="1">ROUND(D45*D78/(1+'数据-取费表'!F30),0)</f>
        <v>2</v>
      </c>
      <c r="D78" s="2766">
        <f>'数据-取费表'!E31</f>
        <v>6.000000000000001E-3</v>
      </c>
      <c r="E78" s="3450" t="s">
        <v>1794</v>
      </c>
      <c r="F78" s="3451"/>
      <c r="G78" s="3451"/>
      <c r="H78" s="3452"/>
      <c r="I78" s="1456"/>
      <c r="J78" s="282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3.8">
      <c r="A79" s="53" t="s">
        <v>42</v>
      </c>
      <c r="B79" s="54" t="s">
        <v>1795</v>
      </c>
      <c r="C79" s="2757">
        <f ca="1">C72-C73</f>
        <v>344</v>
      </c>
      <c r="D79" s="50" t="s">
        <v>41</v>
      </c>
      <c r="E79" s="2057"/>
      <c r="F79" s="2058"/>
      <c r="G79" s="2058"/>
      <c r="H79" s="62"/>
      <c r="I79" s="1454"/>
      <c r="J79" s="2824"/>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7">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6" thickBot="1">
      <c r="A81" s="55" t="s">
        <v>44</v>
      </c>
      <c r="B81" s="56" t="s">
        <v>1797</v>
      </c>
      <c r="C81" s="2768">
        <f ca="1">ROUND(IF(C79&lt;=0,0,IF(C80&gt;=200%,C79*60%-C73*35%,IF(C80&gt;=100%,C79*50%-C73*15%,IF(C80&gt;=50%,C79*40%-C73*5%,IF(C80&lt;50%,C79*30%,0))))),0)</f>
        <v>206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4.4" thickBot="1">
      <c r="A83" s="3478" t="s">
        <v>1798</v>
      </c>
      <c r="B83" s="3479"/>
      <c r="C83" s="3479"/>
      <c r="D83" s="3479"/>
      <c r="E83" s="3479"/>
      <c r="F83" s="3479"/>
      <c r="G83" s="3479"/>
      <c r="H83" s="3479"/>
      <c r="I83" s="9"/>
      <c r="J83" s="282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3.8">
      <c r="A84" s="3475" t="s">
        <v>1759</v>
      </c>
      <c r="B84" s="3476"/>
      <c r="C84" s="1576"/>
      <c r="D84" s="1576"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7">
        <f ca="1">ROUND(D45/(1+'数据-取费表'!F30),0)</f>
        <v>346</v>
      </c>
      <c r="D85" s="50" t="s">
        <v>41</v>
      </c>
      <c r="E85" s="2057" t="s">
        <v>1781</v>
      </c>
      <c r="F85" s="2058"/>
      <c r="G85" s="2058"/>
      <c r="H85" s="73"/>
      <c r="I85" s="9"/>
      <c r="J85" s="2825"/>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3.8">
      <c r="A86" s="63">
        <v>2</v>
      </c>
      <c r="B86" s="41" t="s">
        <v>1782</v>
      </c>
      <c r="C86" s="2757">
        <f ca="1">IF(H88="仅含出让金",C87+C90+C91+C92+C93+C94,C87+C91+C92+C93+C94)</f>
        <v>2</v>
      </c>
      <c r="D86" s="2769"/>
      <c r="E86" s="2057"/>
      <c r="F86" s="2058"/>
      <c r="G86" s="2058"/>
      <c r="H86" s="73"/>
      <c r="I86" s="9"/>
      <c r="J86" s="2825"/>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3.8">
      <c r="A87" s="49" t="s">
        <v>73</v>
      </c>
      <c r="B87" s="50" t="s">
        <v>1799</v>
      </c>
      <c r="C87" s="2765">
        <f>C88+C89</f>
        <v>0</v>
      </c>
      <c r="D87" s="2766"/>
      <c r="E87" s="2054"/>
      <c r="F87" s="2055"/>
      <c r="G87" s="2055"/>
      <c r="H87" s="2056"/>
      <c r="I87" s="9"/>
      <c r="J87" s="2825"/>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4">
      <c r="A88" s="49" t="s">
        <v>74</v>
      </c>
      <c r="B88" s="50" t="s">
        <v>1800</v>
      </c>
      <c r="C88" s="2770"/>
      <c r="D88" s="2766"/>
      <c r="E88" s="74" t="s">
        <v>1801</v>
      </c>
      <c r="F88" s="2055"/>
      <c r="G88" s="75" t="s">
        <v>1802</v>
      </c>
      <c r="H88" s="1457"/>
      <c r="I88" s="9"/>
      <c r="J88" s="2825"/>
      <c r="K88" s="2941" t="s">
        <v>2761</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3.8">
      <c r="A89" s="49" t="s">
        <v>75</v>
      </c>
      <c r="B89" s="50" t="s">
        <v>1790</v>
      </c>
      <c r="C89" s="2765">
        <f>ROUND(C88*D89,0)</f>
        <v>0</v>
      </c>
      <c r="D89" s="2766">
        <f>'数据-取费表'!E36+'数据-取费表'!E37</f>
        <v>3.0499999999999999E-2</v>
      </c>
      <c r="E89" s="74" t="s">
        <v>1803</v>
      </c>
      <c r="F89" s="2055"/>
      <c r="G89" s="2055"/>
      <c r="H89" s="2056"/>
      <c r="I89" s="9"/>
      <c r="J89" s="2825"/>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0"/>
      <c r="D90" s="2766"/>
      <c r="E90" s="74" t="str">
        <f>IF(H88="-","土地取得成本中已包含该笔费用"," ")</f>
        <v xml:space="preserve"> </v>
      </c>
      <c r="F90" s="2055"/>
      <c r="G90" s="3511" t="s">
        <v>2677</v>
      </c>
      <c r="H90" s="3511"/>
      <c r="I90" s="9"/>
      <c r="J90" s="2825"/>
      <c r="K90" s="2941" t="s">
        <v>2762</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5">
        <f>IF(H91="——",成本法!C33,I91)</f>
        <v>0</v>
      </c>
      <c r="D91" s="2766"/>
      <c r="E91" s="3450" t="s">
        <v>1806</v>
      </c>
      <c r="F91" s="3451"/>
      <c r="G91" s="3451"/>
      <c r="H91" s="1458" t="s">
        <v>1807</v>
      </c>
      <c r="I91" s="1459"/>
      <c r="J91" s="282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5">
        <f>ROUND((C87+C90+C91)*D92,0)</f>
        <v>0</v>
      </c>
      <c r="D92" s="2809">
        <v>0.1</v>
      </c>
      <c r="E92" s="3450" t="s">
        <v>1809</v>
      </c>
      <c r="F92" s="3451"/>
      <c r="G92" s="3451"/>
      <c r="H92" s="3452"/>
      <c r="I92" s="9"/>
      <c r="J92" s="2825"/>
      <c r="K92" s="2942" t="s">
        <v>2763</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5">
        <f ca="1">ROUND(D45*D93/(1+'数据-取费表'!F30),0)</f>
        <v>2</v>
      </c>
      <c r="D93" s="2766">
        <f>'数据-取费表'!E31</f>
        <v>6.000000000000001E-3</v>
      </c>
      <c r="E93" s="3450" t="s">
        <v>1794</v>
      </c>
      <c r="F93" s="3451"/>
      <c r="G93" s="3451"/>
      <c r="H93" s="3452"/>
      <c r="I93" s="9"/>
      <c r="J93" s="2825"/>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5">
        <f>ROUND((C87+C90+C91)*D94,0)</f>
        <v>0</v>
      </c>
      <c r="D94" s="2766">
        <v>0.2</v>
      </c>
      <c r="E94" s="3450" t="s">
        <v>1811</v>
      </c>
      <c r="F94" s="3451"/>
      <c r="G94" s="3451"/>
      <c r="H94" s="3452"/>
      <c r="I94" s="9"/>
      <c r="J94" s="2825"/>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3.8">
      <c r="A95" s="53" t="s">
        <v>42</v>
      </c>
      <c r="B95" s="54" t="s">
        <v>1795</v>
      </c>
      <c r="C95" s="2757">
        <f ca="1">ROUND(C85-C86,0)</f>
        <v>344</v>
      </c>
      <c r="D95" s="50" t="s">
        <v>41</v>
      </c>
      <c r="E95" s="2057"/>
      <c r="F95" s="2058"/>
      <c r="G95" s="2058"/>
      <c r="H95" s="73"/>
      <c r="I95" s="9"/>
      <c r="J95" s="2825"/>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7">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6" thickBot="1">
      <c r="A97" s="55" t="s">
        <v>44</v>
      </c>
      <c r="B97" s="56" t="s">
        <v>1797</v>
      </c>
      <c r="C97" s="2768">
        <f ca="1">ROUND(IF(C95&lt;=0,0,IF(C96&gt;=200%,C95*60%-C86*35%,IF(C96&gt;=100%,C95*50%-C86*15%,IF(C96&gt;=50%,C95*40%-C86*5%,IF(C96&lt;50%,C95*30%,0))))),0)</f>
        <v>206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6">
      <c r="A99" s="3497" t="s">
        <v>1813</v>
      </c>
      <c r="B99" s="3498"/>
      <c r="C99" s="3498"/>
      <c r="D99" s="3499"/>
      <c r="E99" s="1430"/>
      <c r="F99" s="3506" t="s">
        <v>1814</v>
      </c>
      <c r="G99" s="3507"/>
      <c r="H99" s="3507"/>
      <c r="I99" s="3508"/>
      <c r="J99" s="2828"/>
    </row>
    <row r="100" spans="1:36" ht="15">
      <c r="A100" s="3509" t="s">
        <v>1815</v>
      </c>
      <c r="B100" s="3510"/>
      <c r="C100" s="1276" t="str">
        <f>C4</f>
        <v>比较法-办公</v>
      </c>
      <c r="D100" s="2776" t="str">
        <f>D4</f>
        <v>收益法</v>
      </c>
      <c r="E100" s="1430"/>
      <c r="F100" s="3421" t="s">
        <v>2721</v>
      </c>
      <c r="G100" s="3422"/>
      <c r="H100" s="3421" t="s">
        <v>2722</v>
      </c>
      <c r="I100" s="3420"/>
      <c r="J100" s="2829"/>
    </row>
    <row r="101" spans="1:36" ht="13.2">
      <c r="A101" s="3489" t="s">
        <v>2754</v>
      </c>
      <c r="B101" s="2276" t="str">
        <f>IF(H19="元","总价（元）","总价（万元）")</f>
        <v>总价（万元）</v>
      </c>
      <c r="C101" s="1276">
        <f ca="1">C19</f>
        <v>393</v>
      </c>
      <c r="D101" s="2776">
        <f ca="1">D19</f>
        <v>294</v>
      </c>
      <c r="E101" s="1430"/>
      <c r="F101" s="3421" t="str">
        <f>项目基本情况!I1</f>
        <v>北京市房地产</v>
      </c>
      <c r="G101" s="3422"/>
      <c r="H101" s="3419">
        <f>项目基本情况!C12</f>
        <v>393.43</v>
      </c>
      <c r="I101" s="3420"/>
      <c r="J101" s="2829"/>
    </row>
    <row r="102" spans="1:36" ht="13.2">
      <c r="A102" s="3489"/>
      <c r="B102" s="2276" t="s">
        <v>2755</v>
      </c>
      <c r="C102" s="2777">
        <f ca="1">C20</f>
        <v>31287</v>
      </c>
      <c r="D102" s="2778">
        <f ca="1">D20</f>
        <v>23412</v>
      </c>
      <c r="E102" s="1430"/>
      <c r="F102" s="3431" t="s">
        <v>2751</v>
      </c>
      <c r="G102" s="3432"/>
      <c r="H102" s="2786" t="str">
        <f>C106</f>
        <v>总价（万元）</v>
      </c>
      <c r="I102" s="2787">
        <f ca="1">H121</f>
        <v>363</v>
      </c>
      <c r="J102" s="2829"/>
    </row>
    <row r="103" spans="1:36" ht="13.2">
      <c r="A103" s="3489" t="s">
        <v>2756</v>
      </c>
      <c r="B103" s="2214" t="str">
        <f>B101</f>
        <v>总价（万元）</v>
      </c>
      <c r="C103" s="2781">
        <f ca="1">H121</f>
        <v>363</v>
      </c>
      <c r="D103" s="2779"/>
      <c r="E103" s="1430"/>
      <c r="F103" s="3431"/>
      <c r="G103" s="3432"/>
      <c r="H103" s="2786" t="s">
        <v>2724</v>
      </c>
      <c r="I103" s="52">
        <f ca="1">I121</f>
        <v>9227</v>
      </c>
      <c r="J103" s="2813"/>
    </row>
    <row r="104" spans="1:36" ht="13.8" thickBot="1">
      <c r="A104" s="3490"/>
      <c r="B104" s="2783" t="s">
        <v>2755</v>
      </c>
      <c r="C104" s="2784">
        <f ca="1">I121</f>
        <v>9227</v>
      </c>
      <c r="D104" s="2785"/>
      <c r="E104" s="1430"/>
      <c r="F104" s="3431"/>
      <c r="G104" s="3432"/>
      <c r="H104" s="3491"/>
      <c r="I104" s="3492"/>
      <c r="J104" s="2830"/>
    </row>
    <row r="105" spans="1:36" ht="13.8">
      <c r="A105" s="3497" t="s">
        <v>1816</v>
      </c>
      <c r="B105" s="3498"/>
      <c r="C105" s="3498"/>
      <c r="D105" s="3499"/>
      <c r="E105" s="1430"/>
      <c r="F105" s="3495" t="s">
        <v>2725</v>
      </c>
      <c r="G105" s="3496"/>
      <c r="H105" s="2788" t="str">
        <f>C108</f>
        <v>总额（万元）</v>
      </c>
      <c r="I105" s="2787">
        <f>SUMIF(I106:I108,"&lt;9E307")</f>
        <v>0</v>
      </c>
      <c r="J105" s="2829"/>
    </row>
    <row r="106" spans="1:36" ht="13.8">
      <c r="A106" s="3431" t="s">
        <v>2748</v>
      </c>
      <c r="B106" s="3432"/>
      <c r="C106" s="2786" t="str">
        <f>B101</f>
        <v>总价（万元）</v>
      </c>
      <c r="D106" s="2787">
        <f ca="1">H121</f>
        <v>363</v>
      </c>
      <c r="E106" s="1430"/>
      <c r="F106" s="3433" t="s">
        <v>2726</v>
      </c>
      <c r="G106" s="3434"/>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3.2">
      <c r="A107" s="3431"/>
      <c r="B107" s="3432"/>
      <c r="C107" s="2786" t="s">
        <v>2749</v>
      </c>
      <c r="D107" s="52">
        <f ca="1">I121</f>
        <v>9227</v>
      </c>
      <c r="E107" s="1430"/>
      <c r="F107" s="3433" t="s">
        <v>2727</v>
      </c>
      <c r="G107" s="3434"/>
      <c r="H107" s="2788" t="str">
        <f>C110</f>
        <v>总额（万元）</v>
      </c>
      <c r="I107" s="52">
        <f>C37</f>
        <v>0</v>
      </c>
      <c r="J107" s="2813"/>
    </row>
    <row r="108" spans="1:36" ht="13.2">
      <c r="A108" s="3438" t="s">
        <v>2725</v>
      </c>
      <c r="B108" s="3439"/>
      <c r="C108" s="2788" t="str">
        <f>IF(H19="元","总额（元）","总额（万元）")</f>
        <v>总额（万元）</v>
      </c>
      <c r="D108" s="2787">
        <f>IF(D36="正常操作",I106+I107+I108,I107+I108)</f>
        <v>0</v>
      </c>
      <c r="E108" s="1430"/>
      <c r="F108" s="3433" t="s">
        <v>2752</v>
      </c>
      <c r="G108" s="3434"/>
      <c r="H108" s="2788" t="str">
        <f>C111</f>
        <v>总额（万元）</v>
      </c>
      <c r="I108" s="52">
        <f>C38</f>
        <v>0</v>
      </c>
      <c r="J108" s="2813"/>
    </row>
    <row r="109" spans="1:36" ht="13.2">
      <c r="A109" s="3433" t="s">
        <v>2726</v>
      </c>
      <c r="B109" s="3434"/>
      <c r="C109" s="2788" t="str">
        <f>C108</f>
        <v>总额（万元）</v>
      </c>
      <c r="D109" s="52">
        <f>IF(D36="同一抵押权人同一抵押物续贷",C36&amp;"（未扣减，详见特别提示）",C36)</f>
        <v>0</v>
      </c>
      <c r="E109" s="1430"/>
      <c r="F109" s="3431"/>
      <c r="G109" s="3432"/>
      <c r="H109" s="3493"/>
      <c r="I109" s="3494"/>
      <c r="J109" s="2831"/>
    </row>
    <row r="110" spans="1:36" ht="28.5" customHeight="1">
      <c r="A110" s="3433" t="s">
        <v>2750</v>
      </c>
      <c r="B110" s="3434"/>
      <c r="C110" s="2788" t="str">
        <f>C108</f>
        <v>总额（万元）</v>
      </c>
      <c r="D110" s="52">
        <f>C37</f>
        <v>0</v>
      </c>
      <c r="E110" s="1430"/>
      <c r="F110" s="3423" t="str">
        <f>IF(项目基本情况!F5="已注销","——","3.房地产抵押价值")</f>
        <v>3.房地产抵押价值</v>
      </c>
      <c r="G110" s="3424"/>
      <c r="H110" s="2774" t="str">
        <f>C112</f>
        <v>总价（万元）</v>
      </c>
      <c r="I110" s="2787">
        <f ca="1">IF(F110="——","——",I102-I105)</f>
        <v>363</v>
      </c>
      <c r="J110" s="2829"/>
    </row>
    <row r="111" spans="1:36" ht="13.2">
      <c r="A111" s="3433" t="s">
        <v>2729</v>
      </c>
      <c r="B111" s="3434"/>
      <c r="C111" s="2788" t="str">
        <f>C108</f>
        <v>总额（万元）</v>
      </c>
      <c r="D111" s="52">
        <f>C38</f>
        <v>0</v>
      </c>
      <c r="E111" s="1430"/>
      <c r="F111" s="3522"/>
      <c r="G111" s="3523"/>
      <c r="H111" s="2786" t="s">
        <v>2724</v>
      </c>
      <c r="I111" s="2790">
        <f ca="1">D113</f>
        <v>9227</v>
      </c>
      <c r="J111" s="2832"/>
    </row>
    <row r="112" spans="1:36" ht="26.25" customHeight="1">
      <c r="A112" s="3431" t="str">
        <f>IF(项目基本情况!F5="已注销","——","3.房地产抵押价值")</f>
        <v>3.房地产抵押价值</v>
      </c>
      <c r="B112" s="3432"/>
      <c r="C112" s="2786" t="str">
        <f>B101</f>
        <v>总价（万元）</v>
      </c>
      <c r="D112" s="2787">
        <f ca="1">IF(A112="——","——",D106-D108)</f>
        <v>363</v>
      </c>
      <c r="E112" s="1430"/>
      <c r="F112" s="3423" t="str">
        <f>IF(项目基本情况!F5="已注销及未注销","4.抵押担保权已注销时的房地产抵押价值",IF(项目基本情况!F5="已注销","3.抵押担保权已注销时的房地产抵押价值","——"))</f>
        <v>——</v>
      </c>
      <c r="G112" s="3424"/>
      <c r="H112" s="2774" t="str">
        <f>C114</f>
        <v>总价（万元）</v>
      </c>
      <c r="I112" s="2787" t="str">
        <f>IF(F112="——","——",I102-I107-I108)</f>
        <v>——</v>
      </c>
      <c r="J112" s="2829"/>
    </row>
    <row r="113" spans="1:16" ht="13.2">
      <c r="A113" s="3431"/>
      <c r="B113" s="3432"/>
      <c r="C113" s="2786" t="s">
        <v>2717</v>
      </c>
      <c r="D113" s="52">
        <f ca="1">ROUND(IF(D112=D106,D107,IF(H19="元",D112/项目基本情况!C12,D112*10000/项目基本情况!C12)),0)</f>
        <v>9227</v>
      </c>
      <c r="E113" s="1430"/>
      <c r="F113" s="3522"/>
      <c r="G113" s="3523"/>
      <c r="H113" s="2786" t="s">
        <v>2753</v>
      </c>
      <c r="I113" s="52" t="str">
        <f>D115</f>
        <v>——</v>
      </c>
      <c r="J113" s="2813"/>
    </row>
    <row r="114" spans="1:16" ht="13.2">
      <c r="A114" s="3431" t="str">
        <f>IF(项目基本情况!F5="已注销及未注销","4.抵押担保权已注销时的房地产抵押价值",IF(项目基本情况!F5="已注销","3.抵押担保权已注销时的房地产抵押价值","——"))</f>
        <v>——</v>
      </c>
      <c r="B114" s="3432"/>
      <c r="C114" s="2786" t="str">
        <f>B101</f>
        <v>总价（万元）</v>
      </c>
      <c r="D114" s="2787" t="str">
        <f>IF(A114="——","——",D106-D110-D111)</f>
        <v>——</v>
      </c>
      <c r="E114" s="1430"/>
      <c r="F114" s="3423" t="str">
        <f>IF(项目基本情况!G5="抵押净值",IF(OR(项目基本情况!F5="已注销",项目基本情况!F5="房地产抵押价值"),"4.抵押净值","5.抵押净值"),"——")</f>
        <v>——</v>
      </c>
      <c r="G114" s="3424"/>
      <c r="H114" s="2786" t="str">
        <f>C116</f>
        <v>总价（万元）</v>
      </c>
      <c r="I114" s="2787" t="str">
        <f>IF(F114="——","——",O59)</f>
        <v>——</v>
      </c>
      <c r="J114" s="2829"/>
    </row>
    <row r="115" spans="1:16" ht="13.8" thickBot="1">
      <c r="A115" s="3431"/>
      <c r="B115" s="3432"/>
      <c r="C115" s="2786" t="s">
        <v>2717</v>
      </c>
      <c r="D115" s="52" t="str">
        <f>IF(A114="——","——",ROUND(IF(D114=D106,D107,IF(H19="元",D114/项目基本情况!C12,D114*10000/项目基本情况!C12)),0))</f>
        <v>——</v>
      </c>
      <c r="E115" s="1430"/>
      <c r="F115" s="3425"/>
      <c r="G115" s="3426"/>
      <c r="H115" s="2791" t="s">
        <v>2717</v>
      </c>
      <c r="I115" s="2775" t="str">
        <f ca="1">D117</f>
        <v>——</v>
      </c>
      <c r="J115" s="2813"/>
    </row>
    <row r="116" spans="1:16" ht="15.6">
      <c r="A116" s="3431" t="str">
        <f>IF(项目基本情况!G5="抵押净值",IF(OR(项目基本情况!F5="已注销",项目基本情况!F5="房地产抵押价值"),"4.抵押净值","5.抵押净值"),"——")</f>
        <v>——</v>
      </c>
      <c r="B116" s="3432"/>
      <c r="C116" s="2786" t="str">
        <f>B101</f>
        <v>总价（万元）</v>
      </c>
      <c r="D116" s="2787" t="str">
        <f>IF(A116="——","——",O59)</f>
        <v>——</v>
      </c>
      <c r="E116" s="1430"/>
      <c r="F116" s="3517"/>
      <c r="G116" s="3517"/>
      <c r="H116" s="3481"/>
      <c r="I116" s="3481"/>
      <c r="J116" s="2833"/>
      <c r="O116" s="32"/>
      <c r="P116" s="32"/>
    </row>
    <row r="117" spans="1:16" ht="13.8" thickBot="1">
      <c r="A117" s="3436"/>
      <c r="B117" s="3437"/>
      <c r="C117" s="2791" t="s">
        <v>2717</v>
      </c>
      <c r="D117" s="2775" t="str">
        <f ca="1">IF(D116=D112,D113,IF(A116="——","——",O61))</f>
        <v>——</v>
      </c>
      <c r="E117" s="1430"/>
      <c r="F117" s="3415" t="str">
        <f>IF(B32="总价","（以上估价结果中单价为总价除以建筑面积得出）","（以上估价结果中总价为楼面单价乘以建筑面积得出）")</f>
        <v>（以上估价结果中单价为总价除以建筑面积得出）</v>
      </c>
      <c r="G117" s="3415"/>
      <c r="H117" s="3415"/>
      <c r="I117" s="3415"/>
      <c r="J117" s="2834"/>
      <c r="O117" s="32"/>
      <c r="P117" s="32"/>
    </row>
    <row r="118" spans="1:16" ht="14.4">
      <c r="A118" s="3482" t="s">
        <v>1817</v>
      </c>
      <c r="B118" s="3483"/>
      <c r="C118" s="3483"/>
      <c r="D118" s="3483"/>
      <c r="E118" s="3483"/>
      <c r="F118" s="3483"/>
      <c r="G118" s="3483"/>
      <c r="H118" s="3483"/>
      <c r="I118" s="3483"/>
      <c r="J118" s="2835"/>
    </row>
    <row r="119" spans="1:16" ht="13.2">
      <c r="A119" s="3416" t="s">
        <v>2735</v>
      </c>
      <c r="B119" s="3442" t="s">
        <v>2745</v>
      </c>
      <c r="C119" s="3442" t="s">
        <v>2746</v>
      </c>
      <c r="D119" s="3504" t="s">
        <v>2737</v>
      </c>
      <c r="E119" s="3505"/>
      <c r="F119" s="3417" t="s">
        <v>2747</v>
      </c>
      <c r="G119" s="3417"/>
      <c r="H119" s="3417" t="s">
        <v>2738</v>
      </c>
      <c r="I119" s="3503"/>
      <c r="J119" s="2813"/>
    </row>
    <row r="120" spans="1:16" ht="13.2">
      <c r="A120" s="3416"/>
      <c r="B120" s="3443"/>
      <c r="C120" s="3443"/>
      <c r="D120" s="2061" t="s">
        <v>2739</v>
      </c>
      <c r="E120" s="2061" t="s">
        <v>2744</v>
      </c>
      <c r="F120" s="2061" t="s">
        <v>2739</v>
      </c>
      <c r="G120" s="2061" t="s">
        <v>2740</v>
      </c>
      <c r="H120" s="2061" t="s">
        <v>2739</v>
      </c>
      <c r="I120" s="52" t="s">
        <v>2740</v>
      </c>
      <c r="J120" s="2813"/>
    </row>
    <row r="121" spans="1:16" ht="13.2">
      <c r="A121" s="2051" t="str">
        <f>项目基本情况!I1</f>
        <v>北京市房地产</v>
      </c>
      <c r="B121" s="2061">
        <f>项目基本情况!C12</f>
        <v>393.43</v>
      </c>
      <c r="C121" s="2061">
        <f>项目基本情况!C13</f>
        <v>0</v>
      </c>
      <c r="D121" s="2061">
        <f ca="1">ROUND(IF(B32="总价",C34,IF('数据-取费表'!B3="万元",E121*B121/10000,E121*B121)),0)</f>
        <v>302</v>
      </c>
      <c r="E121" s="2061">
        <f ca="1">ROUND(IF(B32="楼面单价",C34,IF(H19="元",D121/B121,D121*10000/B121)),0)</f>
        <v>7676</v>
      </c>
      <c r="F121" s="2061">
        <f ca="1">ROUND(IF(B32="总价",C35,IF('数据-取费表'!B3="万元",G121*B121/10000,G121*B121)),0)</f>
        <v>61</v>
      </c>
      <c r="G121" s="2061">
        <f ca="1">ROUND(IF(B32="楼面单价",C35,IF(H19="元",F121/B121,F121*10000/B121)),0)</f>
        <v>1550</v>
      </c>
      <c r="H121" s="2061">
        <f ca="1">ROUND(IF(B32="总价",C32,IF('数据-取费表'!B3="万元",I121*B121/10000,I121*B121)),0)</f>
        <v>363</v>
      </c>
      <c r="I121" s="52">
        <f ca="1">ROUND(IF(B32="楼面单价",C32,IF(H19="元",H121/B121,H121*10000/B121)),0)</f>
        <v>9227</v>
      </c>
      <c r="J121" s="2813"/>
    </row>
    <row r="122" spans="1:16" ht="13.2">
      <c r="A122" s="3416" t="s">
        <v>2741</v>
      </c>
      <c r="B122" s="3417"/>
      <c r="C122" s="3417"/>
      <c r="D122" s="3444" t="str">
        <f ca="1">IF(H19="元",NUMBERSTRING(INT(D121),2)&amp;"元整",NUMBERSTRING(INT(D121*10000),2)&amp;"元整")</f>
        <v>叁佰零贰万元整</v>
      </c>
      <c r="E122" s="3487"/>
      <c r="F122" s="3444" t="str">
        <f ca="1">IF(H19="元",NUMBERSTRING(INT(F121),2)&amp;"元整",NUMBERSTRING(INT(F121*10000),2)&amp;"元整")</f>
        <v>陆拾壹万元整</v>
      </c>
      <c r="G122" s="3487"/>
      <c r="H122" s="3444" t="str">
        <f ca="1">IF(H19="元",NUMBERSTRING(INT(H121),2)&amp;"元整",NUMBERSTRING(INT(H121*10000),2)&amp;"元整")</f>
        <v>叁佰陆拾叁万元整</v>
      </c>
      <c r="I122" s="3445"/>
      <c r="J122" s="2836"/>
    </row>
    <row r="123" spans="1:16" ht="13.2">
      <c r="A123" s="3421" t="str">
        <f>IF(项目基本情况!D5="房地产市场价值","——",MID(A108,3,LEN(A108)-2))</f>
        <v>估价师所知悉的法定优先受偿款</v>
      </c>
      <c r="B123" s="3427"/>
      <c r="C123" s="3422"/>
      <c r="D123" s="3419">
        <f>I105</f>
        <v>0</v>
      </c>
      <c r="E123" s="3427"/>
      <c r="F123" s="3427"/>
      <c r="G123" s="3427"/>
      <c r="H123" s="3427"/>
      <c r="I123" s="3420"/>
      <c r="J123" s="2829"/>
    </row>
    <row r="124" spans="1:16" ht="13.2">
      <c r="A124" s="3488" t="s">
        <v>2741</v>
      </c>
      <c r="B124" s="3456"/>
      <c r="C124" s="3457"/>
      <c r="D124" s="3428">
        <f>H109</f>
        <v>0</v>
      </c>
      <c r="E124" s="3429"/>
      <c r="F124" s="3429"/>
      <c r="G124" s="3429"/>
      <c r="H124" s="3429"/>
      <c r="I124" s="3430"/>
      <c r="J124" s="2837"/>
    </row>
    <row r="125" spans="1:16" ht="13.2">
      <c r="A125" s="3431" t="str">
        <f>IF(项目基本情况!D5="房地产市场价值","——",MID(A112,3,LEN(A112)-2))</f>
        <v>房地产抵押价值</v>
      </c>
      <c r="B125" s="3432"/>
      <c r="C125" s="3432"/>
      <c r="D125" s="3419">
        <f ca="1">I110</f>
        <v>363</v>
      </c>
      <c r="E125" s="3427"/>
      <c r="F125" s="3427"/>
      <c r="G125" s="3427"/>
      <c r="H125" s="3427"/>
      <c r="I125" s="3420"/>
      <c r="J125" s="2829"/>
    </row>
    <row r="126" spans="1:16" ht="13.2">
      <c r="A126" s="3416" t="s">
        <v>2741</v>
      </c>
      <c r="B126" s="3417"/>
      <c r="C126" s="3417"/>
      <c r="D126" s="3428">
        <f ca="1">I111</f>
        <v>9227</v>
      </c>
      <c r="E126" s="3429"/>
      <c r="F126" s="3429"/>
      <c r="G126" s="3429"/>
      <c r="H126" s="3429"/>
      <c r="I126" s="3430"/>
      <c r="J126" s="2837"/>
    </row>
    <row r="127" spans="1:16" ht="13.8" thickBot="1">
      <c r="A127" s="3431" t="str">
        <f>IF(项目基本情况!D5="房地产市场价值","——",MID(A114,3,LEN(A114)-2))</f>
        <v/>
      </c>
      <c r="B127" s="3432"/>
      <c r="C127" s="3432"/>
      <c r="D127" s="3464" t="str">
        <f>I112</f>
        <v>——</v>
      </c>
      <c r="E127" s="3465"/>
      <c r="F127" s="3465"/>
      <c r="G127" s="3465"/>
      <c r="H127" s="3465"/>
      <c r="I127" s="3516"/>
      <c r="J127" s="2829"/>
    </row>
    <row r="128" spans="1:16" ht="14.4" thickTop="1" thickBot="1">
      <c r="A128" s="3416" t="s">
        <v>2741</v>
      </c>
      <c r="B128" s="3417"/>
      <c r="C128" s="3418"/>
      <c r="D128" s="3480" t="str">
        <f>I113</f>
        <v>——</v>
      </c>
      <c r="E128" s="3480"/>
      <c r="F128" s="3480"/>
      <c r="G128" s="3480"/>
      <c r="H128" s="3480"/>
      <c r="I128" s="3480"/>
      <c r="J128" s="2837"/>
    </row>
    <row r="129" spans="1:10" ht="14.4" thickTop="1" thickBot="1">
      <c r="A129" s="3431" t="str">
        <f>IF(项目基本情况!D5="房地产市场价值","——",MID(F114,3,LEN(F114)-2))</f>
        <v/>
      </c>
      <c r="B129" s="3432"/>
      <c r="C129" s="3419"/>
      <c r="D129" s="3435" t="str">
        <f>I114</f>
        <v>——</v>
      </c>
      <c r="E129" s="3435"/>
      <c r="F129" s="3435"/>
      <c r="G129" s="3435"/>
      <c r="H129" s="3435"/>
      <c r="I129" s="3435"/>
      <c r="J129" s="2829"/>
    </row>
    <row r="130" spans="1:10" ht="14.4" thickTop="1" thickBot="1">
      <c r="A130" s="3440" t="s">
        <v>2741</v>
      </c>
      <c r="B130" s="3441"/>
      <c r="C130" s="3441"/>
      <c r="D130" s="3446">
        <f>H116</f>
        <v>0</v>
      </c>
      <c r="E130" s="3447"/>
      <c r="F130" s="3447"/>
      <c r="G130" s="3447"/>
      <c r="H130" s="3447"/>
      <c r="I130" s="3448"/>
      <c r="J130" s="2837"/>
    </row>
    <row r="131" spans="1:10" ht="13.2">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8" thickBot="1">
      <c r="A132" s="3414" t="str">
        <f>IF(B32="总价","（以上估价结果中楼面单价为总价除以建筑面积得出）","（以上估价结果中总价为楼面单价乘以建筑面积得出）")</f>
        <v>（以上估价结果中楼面单价为总价除以建筑面积得出）</v>
      </c>
      <c r="B132" s="3414"/>
      <c r="C132" s="3414"/>
      <c r="D132" s="3414"/>
      <c r="E132" s="3414"/>
      <c r="F132" s="3414"/>
      <c r="G132" s="3414"/>
      <c r="H132" s="3414"/>
      <c r="I132" s="3414"/>
      <c r="J132" s="2831"/>
    </row>
    <row r="133" spans="1:10" ht="21.75" customHeight="1">
      <c r="A133" s="1460" t="s">
        <v>1818</v>
      </c>
      <c r="B133" s="1461"/>
      <c r="C133" s="1462" t="s">
        <v>1819</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9"/>
      <c r="J138" s="2840"/>
    </row>
    <row r="139" spans="1:10" ht="21.75" customHeight="1">
      <c r="A139" s="659"/>
      <c r="B139" s="659"/>
      <c r="C139" s="659"/>
      <c r="D139" s="659"/>
      <c r="E139" s="659"/>
      <c r="F139" s="1473" t="s">
        <v>1820</v>
      </c>
      <c r="G139" s="1474"/>
      <c r="H139" s="1474"/>
      <c r="I139" s="1475" t="s">
        <v>1821</v>
      </c>
      <c r="J139" s="2841"/>
    </row>
    <row r="140" spans="1:10" ht="21.75" customHeight="1">
      <c r="A140" s="659"/>
      <c r="B140" s="1476"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4"/>
      <c r="C142" s="1474"/>
      <c r="D142" s="1474"/>
      <c r="E142" s="1474"/>
      <c r="F142" s="1474"/>
      <c r="G142" s="1474"/>
      <c r="H142" s="1474"/>
      <c r="I142" s="1475" t="s">
        <v>1823</v>
      </c>
      <c r="J142" s="2841"/>
    </row>
    <row r="143" spans="1:10" ht="21.75" customHeight="1">
      <c r="A143" s="659"/>
      <c r="B143" s="1476" t="s">
        <v>1824</v>
      </c>
      <c r="C143" s="659"/>
      <c r="D143" s="659"/>
      <c r="E143" s="659"/>
      <c r="F143" s="659"/>
      <c r="G143" s="659"/>
      <c r="H143" s="659"/>
      <c r="I143" s="659"/>
      <c r="J143" s="2840"/>
    </row>
    <row r="144" spans="1:10" ht="21.75" customHeight="1">
      <c r="A144" s="659"/>
      <c r="B144" s="1476"/>
      <c r="C144" s="659"/>
      <c r="D144" s="659"/>
      <c r="E144" s="659"/>
      <c r="F144" s="659"/>
      <c r="G144" s="659"/>
      <c r="H144" s="659"/>
      <c r="I144" s="659"/>
      <c r="J144" s="2840"/>
    </row>
    <row r="145" spans="1:36" ht="21.75" customHeight="1">
      <c r="A145" s="659"/>
      <c r="B145" s="1474"/>
      <c r="C145" s="1474"/>
      <c r="D145" s="1474"/>
      <c r="E145" s="1474"/>
      <c r="F145" s="1474"/>
      <c r="G145" s="1474"/>
      <c r="H145" s="1474"/>
      <c r="I145" s="1475" t="s">
        <v>1823</v>
      </c>
      <c r="J145" s="2841"/>
    </row>
    <row r="146" spans="1:36" ht="21.75" customHeight="1">
      <c r="A146" s="659"/>
      <c r="B146" s="1476"/>
      <c r="C146" s="1477"/>
      <c r="D146" s="1478"/>
      <c r="E146" s="1478"/>
      <c r="F146" s="1479"/>
      <c r="G146" s="659"/>
      <c r="H146" s="659"/>
      <c r="I146" s="659"/>
      <c r="J146" s="2840"/>
    </row>
    <row r="147" spans="1:36" s="32" customFormat="1" ht="21.75" customHeight="1">
      <c r="A147" s="659"/>
      <c r="B147" s="1476"/>
      <c r="C147" s="1477"/>
      <c r="D147" s="1478"/>
      <c r="E147" s="1478"/>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21" sqref="K21"/>
    </sheetView>
  </sheetViews>
  <sheetFormatPr defaultColWidth="12.6640625" defaultRowHeight="21.75" customHeight="1"/>
  <cols>
    <col min="1" max="1" width="12.6640625" style="1431"/>
    <col min="2" max="2" width="17.6640625" style="1431" customWidth="1"/>
    <col min="3" max="4" width="12.6640625" style="1431" customWidth="1"/>
    <col min="5" max="9" width="12.6640625" style="1431"/>
    <col min="10" max="10" width="4.109375" style="2810" customWidth="1"/>
    <col min="11" max="12" width="12.6640625" style="659" customWidth="1"/>
    <col min="13" max="13" width="12.6640625" style="659"/>
    <col min="14" max="14" width="14.109375" style="659" bestFit="1" customWidth="1"/>
    <col min="15" max="27" width="12.6640625" style="659"/>
    <col min="28" max="36" width="12.6640625" style="1277"/>
    <col min="37" max="16384" width="12.6640625" style="1431"/>
  </cols>
  <sheetData>
    <row r="1" spans="1:15" ht="21.75" customHeight="1">
      <c r="A1" s="1429" t="s">
        <v>1825</v>
      </c>
      <c r="B1" s="1430"/>
      <c r="C1" s="1430"/>
      <c r="D1" s="1430"/>
      <c r="E1" s="1430"/>
      <c r="F1" s="1430"/>
      <c r="G1" s="1430"/>
      <c r="H1" s="1430"/>
      <c r="I1" s="1430"/>
    </row>
    <row r="2" spans="1:15" ht="21.75" customHeight="1">
      <c r="A2" s="3548" t="s">
        <v>1826</v>
      </c>
      <c r="B2" s="3548"/>
      <c r="C2" s="3548"/>
      <c r="D2" s="3548"/>
      <c r="E2" s="3548"/>
      <c r="F2" s="3548"/>
      <c r="G2" s="3548"/>
      <c r="H2" s="3548"/>
      <c r="I2" s="3548"/>
      <c r="J2" s="2842"/>
    </row>
    <row r="3" spans="1:15" ht="13.2">
      <c r="A3" s="3472" t="s">
        <v>1654</v>
      </c>
      <c r="B3" s="3473"/>
      <c r="C3" s="3473"/>
      <c r="D3" s="3473"/>
      <c r="E3" s="3473"/>
      <c r="F3" s="3473"/>
      <c r="G3" s="3473"/>
      <c r="H3" s="3473"/>
      <c r="I3" s="3473"/>
      <c r="J3" s="2812"/>
    </row>
    <row r="4" spans="1:15" ht="14.4">
      <c r="A4" s="2680" t="s">
        <v>1655</v>
      </c>
      <c r="B4" s="2680" t="s">
        <v>1656</v>
      </c>
      <c r="C4" s="2681" t="s">
        <v>3009</v>
      </c>
      <c r="D4" s="2681" t="s">
        <v>3003</v>
      </c>
      <c r="E4" s="3418" t="s">
        <v>1827</v>
      </c>
      <c r="F4" s="3456"/>
      <c r="G4" s="3456"/>
      <c r="H4" s="3456"/>
      <c r="I4" s="3457"/>
      <c r="J4" s="2813"/>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3.2">
      <c r="A5" s="3449" t="s">
        <v>1658</v>
      </c>
      <c r="B5" s="3449">
        <v>25</v>
      </c>
      <c r="C5" s="3458"/>
      <c r="D5" s="3471"/>
      <c r="E5" s="12" t="s">
        <v>1659</v>
      </c>
      <c r="F5" s="2058"/>
      <c r="G5" s="2058"/>
      <c r="H5" s="2058"/>
      <c r="I5" s="2053"/>
      <c r="J5" s="2813"/>
    </row>
    <row r="6" spans="1:15" ht="13.2">
      <c r="A6" s="3449"/>
      <c r="B6" s="3449"/>
      <c r="C6" s="3474"/>
      <c r="D6" s="3471"/>
      <c r="E6" s="12" t="s">
        <v>1660</v>
      </c>
      <c r="F6" s="2058"/>
      <c r="G6" s="2058"/>
      <c r="H6" s="2058"/>
      <c r="I6" s="2053"/>
      <c r="J6" s="2813"/>
    </row>
    <row r="7" spans="1:15" ht="13.2">
      <c r="A7" s="3449"/>
      <c r="B7" s="3449"/>
      <c r="C7" s="3459"/>
      <c r="D7" s="3471"/>
      <c r="E7" s="12" t="s">
        <v>1661</v>
      </c>
      <c r="F7" s="2058"/>
      <c r="G7" s="2058"/>
      <c r="H7" s="2058"/>
      <c r="I7" s="2053"/>
      <c r="J7" s="2813"/>
    </row>
    <row r="8" spans="1:15" ht="13.2">
      <c r="A8" s="3449" t="s">
        <v>1662</v>
      </c>
      <c r="B8" s="3449">
        <v>15</v>
      </c>
      <c r="C8" s="3458"/>
      <c r="D8" s="3471"/>
      <c r="E8" s="12" t="s">
        <v>1663</v>
      </c>
      <c r="F8" s="2058"/>
      <c r="G8" s="2058"/>
      <c r="H8" s="2058"/>
      <c r="I8" s="2053"/>
      <c r="J8" s="2813"/>
    </row>
    <row r="9" spans="1:15" ht="13.2">
      <c r="A9" s="3449"/>
      <c r="B9" s="3449"/>
      <c r="C9" s="3459"/>
      <c r="D9" s="3471"/>
      <c r="E9" s="12" t="s">
        <v>1664</v>
      </c>
      <c r="F9" s="2058"/>
      <c r="G9" s="2058"/>
      <c r="H9" s="2058"/>
      <c r="I9" s="2053"/>
      <c r="J9" s="2813"/>
    </row>
    <row r="10" spans="1:15" ht="13.2">
      <c r="A10" s="3449" t="s">
        <v>1665</v>
      </c>
      <c r="B10" s="3449">
        <v>15</v>
      </c>
      <c r="C10" s="3458"/>
      <c r="D10" s="3471"/>
      <c r="E10" s="12" t="s">
        <v>1666</v>
      </c>
      <c r="F10" s="2058"/>
      <c r="G10" s="2058"/>
      <c r="H10" s="2058"/>
      <c r="I10" s="2053"/>
      <c r="J10" s="2813"/>
    </row>
    <row r="11" spans="1:15" ht="13.2">
      <c r="A11" s="3449"/>
      <c r="B11" s="3449"/>
      <c r="C11" s="3459"/>
      <c r="D11" s="3471"/>
      <c r="E11" s="12" t="s">
        <v>1667</v>
      </c>
      <c r="F11" s="2058"/>
      <c r="G11" s="2058"/>
      <c r="H11" s="2058"/>
      <c r="I11" s="2053"/>
      <c r="J11" s="2813"/>
    </row>
    <row r="12" spans="1:15" ht="13.2">
      <c r="A12" s="3449" t="s">
        <v>1668</v>
      </c>
      <c r="B12" s="3449">
        <v>15</v>
      </c>
      <c r="C12" s="3458"/>
      <c r="D12" s="3471"/>
      <c r="E12" s="12" t="s">
        <v>1669</v>
      </c>
      <c r="F12" s="2058"/>
      <c r="G12" s="2058"/>
      <c r="H12" s="2058"/>
      <c r="I12" s="2053"/>
      <c r="J12" s="2813"/>
    </row>
    <row r="13" spans="1:15" ht="13.2">
      <c r="A13" s="3449"/>
      <c r="B13" s="3449"/>
      <c r="C13" s="3459"/>
      <c r="D13" s="3471"/>
      <c r="E13" s="12" t="s">
        <v>1670</v>
      </c>
      <c r="F13" s="2058"/>
      <c r="G13" s="2058"/>
      <c r="H13" s="2058"/>
      <c r="I13" s="2053"/>
      <c r="J13" s="2813"/>
    </row>
    <row r="14" spans="1:15" ht="13.2">
      <c r="A14" s="3449" t="s">
        <v>1671</v>
      </c>
      <c r="B14" s="3449">
        <v>30</v>
      </c>
      <c r="C14" s="3458">
        <v>7</v>
      </c>
      <c r="D14" s="3471">
        <v>3</v>
      </c>
      <c r="E14" s="12" t="s">
        <v>1672</v>
      </c>
      <c r="F14" s="2058"/>
      <c r="G14" s="2058"/>
      <c r="H14" s="2058"/>
      <c r="I14" s="2053"/>
      <c r="J14" s="2813"/>
    </row>
    <row r="15" spans="1:15" ht="13.2">
      <c r="A15" s="3449"/>
      <c r="B15" s="3449"/>
      <c r="C15" s="3474"/>
      <c r="D15" s="3471"/>
      <c r="E15" s="12" t="s">
        <v>1673</v>
      </c>
      <c r="F15" s="2058"/>
      <c r="G15" s="2058"/>
      <c r="H15" s="2058"/>
      <c r="I15" s="2053"/>
      <c r="J15" s="2813"/>
    </row>
    <row r="16" spans="1:15" ht="13.2">
      <c r="A16" s="3449"/>
      <c r="B16" s="3449"/>
      <c r="C16" s="3459"/>
      <c r="D16" s="3471"/>
      <c r="E16" s="12" t="s">
        <v>1674</v>
      </c>
      <c r="F16" s="2058"/>
      <c r="G16" s="2058"/>
      <c r="H16" s="2058"/>
      <c r="I16" s="2053"/>
      <c r="J16" s="2813"/>
    </row>
    <row r="17" spans="1:36" ht="14.4">
      <c r="A17" s="2682" t="s">
        <v>1675</v>
      </c>
      <c r="B17" s="2063"/>
      <c r="C17" s="2683">
        <f>SUM(C5:C16)</f>
        <v>7</v>
      </c>
      <c r="D17" s="2683">
        <f>SUM(D5:D16)</f>
        <v>3</v>
      </c>
      <c r="E17" s="2532"/>
      <c r="F17" s="2532"/>
      <c r="G17" s="2532"/>
      <c r="H17" s="2532"/>
      <c r="I17" s="2532"/>
      <c r="J17" s="2814"/>
    </row>
    <row r="18" spans="1:36" ht="32.4" customHeight="1" thickBot="1">
      <c r="A18" s="2684" t="s">
        <v>1676</v>
      </c>
      <c r="B18" s="2685"/>
      <c r="C18" s="2686">
        <f>ROUND(C17/SUM(C17:D17),2)</f>
        <v>0.7</v>
      </c>
      <c r="D18" s="2686">
        <f>1-C18</f>
        <v>0.30000000000000004</v>
      </c>
      <c r="E18" s="3467" t="s">
        <v>2760</v>
      </c>
      <c r="F18" s="3468"/>
      <c r="G18" s="3468"/>
      <c r="H18" s="3468"/>
      <c r="I18" s="3468"/>
      <c r="J18" s="2814"/>
    </row>
    <row r="19" spans="1:36" ht="14.4">
      <c r="A19" s="2687" t="s">
        <v>1677</v>
      </c>
      <c r="B19" s="2688" t="s">
        <v>1678</v>
      </c>
      <c r="C19" s="2689">
        <f ca="1">SUMIF(INDIRECT("'"&amp;C4&amp;"'"&amp;"!A:A"),'结果表 (1修多)'!B19,INDIRECT("'"&amp;C4&amp;"'"&amp;"!B:B"))</f>
        <v>393</v>
      </c>
      <c r="D19" s="2690">
        <f ca="1">SUMIF(INDIRECT("'"&amp;D4&amp;"'"&amp;"!A:A"),'结果表 (1修多)'!B19,INDIRECT("'"&amp;D4&amp;"'"&amp;"!B:B"))</f>
        <v>294</v>
      </c>
      <c r="E19" s="2687" t="s">
        <v>1679</v>
      </c>
      <c r="F19" s="2688" t="s">
        <v>1678</v>
      </c>
      <c r="G19" s="2691">
        <f ca="1">ROUND(C19*$C$18+D19*$D$18,0)</f>
        <v>363</v>
      </c>
      <c r="H19" s="2692" t="str">
        <f>'数据-取费表'!B3</f>
        <v>万元</v>
      </c>
      <c r="I19" s="2532"/>
      <c r="J19" s="2814"/>
      <c r="K19" s="659">
        <v>402.76</v>
      </c>
    </row>
    <row r="20" spans="1:36" ht="14.4">
      <c r="A20" s="2693"/>
      <c r="B20" s="1663" t="s">
        <v>1680</v>
      </c>
      <c r="C20" s="1888">
        <f ca="1">SUMIF(INDIRECT("'"&amp;C4&amp;"'"&amp;"!A:A"),'结果表 (1修多)'!B20,INDIRECT("'"&amp;C4&amp;"'"&amp;"!B:B"))</f>
        <v>31287</v>
      </c>
      <c r="D20" s="1891">
        <f ca="1">SUMIF(INDIRECT("'"&amp;D4&amp;"'"&amp;"!A:A"),'结果表 (1修多)'!B20,INDIRECT("'"&amp;D4&amp;"'"&amp;"!B:B"))</f>
        <v>23412</v>
      </c>
      <c r="E20" s="2693"/>
      <c r="F20" s="1663" t="s">
        <v>1680</v>
      </c>
      <c r="G20" s="2062">
        <f ca="1">ROUND(C20*$C$18+D20*$D$18,0)</f>
        <v>28925</v>
      </c>
      <c r="H20" s="2694" t="s">
        <v>1681</v>
      </c>
      <c r="I20" s="2532"/>
      <c r="J20" s="2814"/>
      <c r="K20" s="659">
        <f>K19*10000/典型户型修正!B27</f>
        <v>32089.873316867179</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8" thickBot="1">
      <c r="A23" s="2532"/>
      <c r="B23" s="2532"/>
      <c r="C23" s="2532"/>
      <c r="D23" s="2532"/>
      <c r="E23" s="947"/>
      <c r="F23" s="947"/>
      <c r="G23" s="947"/>
      <c r="H23" s="947"/>
      <c r="I23" s="947"/>
      <c r="J23" s="2814"/>
    </row>
    <row r="24" spans="1:36" ht="21.75" customHeight="1">
      <c r="A24" s="3460" t="s">
        <v>1683</v>
      </c>
      <c r="B24" s="2688" t="s">
        <v>1678</v>
      </c>
      <c r="C24" s="2691">
        <f>D30</f>
        <v>0</v>
      </c>
      <c r="D24" s="2643"/>
      <c r="E24" s="947"/>
      <c r="F24" s="947"/>
      <c r="G24" s="947"/>
      <c r="H24" s="947"/>
      <c r="I24" s="947"/>
      <c r="J24" s="2814"/>
    </row>
    <row r="25" spans="1:36" ht="21.75" customHeight="1">
      <c r="A25" s="3477"/>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4">
      <c r="A27" s="2708" t="s">
        <v>1828</v>
      </c>
      <c r="B27" s="2706">
        <v>0</v>
      </c>
      <c r="C27" s="2706">
        <v>0</v>
      </c>
      <c r="D27" s="2707">
        <f>ROUND(C27*B27/10000,0)</f>
        <v>0</v>
      </c>
      <c r="E27" s="947"/>
      <c r="F27" s="947"/>
      <c r="G27" s="947"/>
      <c r="H27" s="947"/>
      <c r="I27" s="947"/>
      <c r="J27" s="2814"/>
    </row>
    <row r="28" spans="1:36" ht="13.8">
      <c r="A28" s="2705"/>
      <c r="B28" s="2706"/>
      <c r="C28" s="2706"/>
      <c r="D28" s="2707">
        <f>ROUND(C28*B28/10000,0)</f>
        <v>0</v>
      </c>
      <c r="E28" s="947"/>
      <c r="F28" s="947"/>
      <c r="G28" s="947"/>
      <c r="H28" s="947"/>
      <c r="I28" s="947"/>
      <c r="J28" s="2814"/>
    </row>
    <row r="29" spans="1:36" ht="13.8">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2764</v>
      </c>
      <c r="F30" s="2532"/>
      <c r="G30" s="2532"/>
      <c r="H30" s="2532"/>
      <c r="I30" s="2532"/>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5.6" thickTop="1" thickBot="1">
      <c r="A32" s="3525" t="s">
        <v>1830</v>
      </c>
      <c r="B32" s="3525"/>
      <c r="C32" s="3525"/>
      <c r="D32" s="3525"/>
      <c r="E32" s="3525"/>
      <c r="F32" s="3525"/>
      <c r="G32" s="3525"/>
      <c r="H32" s="3525"/>
      <c r="I32" s="3525"/>
      <c r="J32" s="2843"/>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4.4">
      <c r="A33" s="1480"/>
      <c r="B33" s="2743" t="s">
        <v>1831</v>
      </c>
      <c r="C33" s="2744">
        <f ca="1">典型户型修正!R27</f>
        <v>28925</v>
      </c>
      <c r="D33" s="2532" t="s">
        <v>1832</v>
      </c>
      <c r="E33" s="947"/>
      <c r="F33" s="947"/>
      <c r="G33" s="947"/>
      <c r="H33" s="947"/>
      <c r="I33" s="947"/>
      <c r="J33" s="2814"/>
    </row>
    <row r="34" spans="1:16" ht="14.4">
      <c r="A34" s="1481" t="s">
        <v>1833</v>
      </c>
      <c r="B34" s="2745" t="s">
        <v>1834</v>
      </c>
      <c r="C34" s="2746">
        <f ca="1">典型户型修正!B2</f>
        <v>1138</v>
      </c>
      <c r="D34" s="2747" t="str">
        <f>IF('数据-取费表'!B3="万元","万元","元")</f>
        <v>万元</v>
      </c>
      <c r="E34" s="947"/>
      <c r="F34" s="947"/>
      <c r="G34" s="947"/>
      <c r="H34" s="947"/>
      <c r="I34" s="947"/>
      <c r="J34" s="2814"/>
    </row>
    <row r="35" spans="1:16" ht="15" thickBot="1">
      <c r="A35" s="1482"/>
      <c r="B35" s="2748" t="s">
        <v>1835</v>
      </c>
      <c r="C35" s="2697">
        <f ca="1">典型户型修正!B3</f>
        <v>28925</v>
      </c>
      <c r="D35" s="2532" t="s">
        <v>1836</v>
      </c>
      <c r="E35" s="947"/>
      <c r="F35" s="947"/>
      <c r="G35" s="947"/>
      <c r="H35" s="947"/>
      <c r="I35" s="947"/>
      <c r="J35" s="2814"/>
    </row>
    <row r="36" spans="1:16" ht="14.4">
      <c r="A36" s="1483"/>
      <c r="B36" s="1437" t="s">
        <v>1837</v>
      </c>
      <c r="C36" s="2749">
        <f>IF('数据-取费表'!B3="万元",典型户型修正!V25,典型户型修正!U25)</f>
        <v>0</v>
      </c>
      <c r="D36" s="2532" t="str">
        <f>D34</f>
        <v>万元</v>
      </c>
      <c r="E36" s="947"/>
      <c r="F36" s="947"/>
      <c r="G36" s="947"/>
      <c r="H36" s="947"/>
      <c r="I36" s="947"/>
      <c r="J36" s="2814"/>
    </row>
    <row r="37" spans="1:16" ht="15" thickBot="1">
      <c r="A37" s="1436"/>
      <c r="B37" s="1438" t="s">
        <v>1838</v>
      </c>
      <c r="C37" s="2750">
        <f>IF('数据-取费表'!B3="万元",典型户型修正!Y25,典型户型修正!X25)</f>
        <v>0</v>
      </c>
      <c r="D37" s="2532" t="str">
        <f>D34</f>
        <v>万元</v>
      </c>
      <c r="E37" s="947"/>
      <c r="F37" s="947"/>
      <c r="G37" s="947"/>
      <c r="H37" s="947"/>
      <c r="I37" s="947"/>
      <c r="J37" s="2814"/>
    </row>
    <row r="38" spans="1:16" ht="15" thickBot="1">
      <c r="A38" s="3460" t="s">
        <v>1839</v>
      </c>
      <c r="B38" s="1437" t="s">
        <v>1840</v>
      </c>
      <c r="C38" s="2724"/>
      <c r="D38" s="2725"/>
      <c r="E38" s="1649"/>
      <c r="F38" s="1649"/>
      <c r="G38" s="947"/>
      <c r="H38" s="947"/>
      <c r="I38" s="947"/>
      <c r="J38" s="2814"/>
    </row>
    <row r="39" spans="1:16" ht="15" thickBot="1">
      <c r="A39" s="3461"/>
      <c r="B39" s="2063" t="s">
        <v>1841</v>
      </c>
      <c r="C39" s="2726"/>
      <c r="D39" s="1280"/>
      <c r="E39" s="1280"/>
      <c r="F39" s="1649"/>
      <c r="G39" s="1280"/>
      <c r="H39" s="1280"/>
      <c r="I39" s="1280"/>
      <c r="J39" s="2818"/>
    </row>
    <row r="40" spans="1:16" ht="15" thickBot="1">
      <c r="A40" s="3462"/>
      <c r="B40" s="1438" t="s">
        <v>1842</v>
      </c>
      <c r="C40" s="2727"/>
      <c r="D40" s="2728" t="s">
        <v>1843</v>
      </c>
      <c r="E40" s="1280"/>
      <c r="F40" s="1649"/>
      <c r="G40" s="1280"/>
      <c r="H40" s="1280"/>
      <c r="I40" s="1280"/>
      <c r="J40" s="2818"/>
    </row>
    <row r="41" spans="1:16" ht="14.4">
      <c r="A41" s="2693" t="s">
        <v>1844</v>
      </c>
      <c r="B41" s="2729" t="s">
        <v>1845</v>
      </c>
      <c r="C41" s="2730" t="s">
        <v>1846</v>
      </c>
      <c r="D41" s="2730" t="s">
        <v>1847</v>
      </c>
      <c r="E41" s="2731" t="s">
        <v>1848</v>
      </c>
      <c r="F41" s="1649"/>
      <c r="G41" s="1280"/>
      <c r="H41" s="1280"/>
      <c r="I41" s="1280"/>
      <c r="J41" s="2818"/>
    </row>
    <row r="42" spans="1:16" ht="13.8">
      <c r="A42" s="2732" t="s">
        <v>1849</v>
      </c>
      <c r="B42" s="2733"/>
      <c r="C42" s="2734"/>
      <c r="D42" s="2734"/>
      <c r="E42" s="2735"/>
      <c r="F42" s="1649"/>
      <c r="G42" s="1280"/>
      <c r="H42" s="1280"/>
      <c r="I42" s="1280"/>
      <c r="J42" s="2818"/>
    </row>
    <row r="43" spans="1:16" ht="13.8">
      <c r="A43" s="2732" t="s">
        <v>1850</v>
      </c>
      <c r="B43" s="2733"/>
      <c r="C43" s="2734"/>
      <c r="D43" s="2734"/>
      <c r="E43" s="2735"/>
      <c r="F43" s="1649"/>
      <c r="G43" s="1280"/>
      <c r="H43" s="1280"/>
      <c r="I43" s="1280"/>
      <c r="J43" s="2818"/>
    </row>
    <row r="44" spans="1:16" ht="14.4" thickBot="1">
      <c r="A44" s="2736"/>
      <c r="B44" s="2737"/>
      <c r="C44" s="2738"/>
      <c r="D44" s="2738"/>
      <c r="E44" s="2723"/>
      <c r="F44" s="1649"/>
      <c r="G44" s="1280"/>
      <c r="H44" s="1280"/>
      <c r="I44" s="1280"/>
      <c r="J44" s="2818"/>
    </row>
    <row r="45" spans="1:16" ht="13.2">
      <c r="A45" s="1450"/>
      <c r="B45" s="1450"/>
      <c r="C45" s="1450"/>
      <c r="D45" s="1450"/>
      <c r="E45" s="1450"/>
      <c r="F45" s="1406"/>
      <c r="G45" s="1406"/>
      <c r="H45" s="1406"/>
      <c r="I45" s="2739"/>
      <c r="J45" s="2819"/>
    </row>
    <row r="46" spans="1:16" ht="17.399999999999999">
      <c r="A46" s="1440" t="s">
        <v>1851</v>
      </c>
      <c r="B46" s="1441"/>
      <c r="C46" s="1441"/>
      <c r="D46" s="2751"/>
      <c r="E46" s="2751"/>
      <c r="F46" s="2751"/>
      <c r="G46" s="2751"/>
      <c r="H46" s="2751"/>
      <c r="I46" s="2808" t="s">
        <v>2759</v>
      </c>
      <c r="J46" s="2844"/>
      <c r="K46" s="1444" t="s">
        <v>1706</v>
      </c>
      <c r="L46" s="1445"/>
      <c r="M46" s="1445"/>
      <c r="N46" s="1445"/>
      <c r="O46" s="1445"/>
      <c r="P46" s="1445"/>
    </row>
    <row r="47" spans="1:16" ht="14.25" customHeight="1" thickBot="1">
      <c r="A47" s="3464" t="s">
        <v>1852</v>
      </c>
      <c r="B47" s="3465"/>
      <c r="C47" s="3424"/>
      <c r="D47" s="246">
        <f ca="1">ROUND(I104*F47,0)</f>
        <v>1138</v>
      </c>
      <c r="E47" s="1511" t="s">
        <v>1853</v>
      </c>
      <c r="F47" s="2530">
        <v>1</v>
      </c>
      <c r="G47" s="2531" t="s">
        <v>1854</v>
      </c>
      <c r="H47" s="947"/>
      <c r="I47" s="947"/>
      <c r="J47" s="2814"/>
      <c r="K47" s="3550" t="s">
        <v>1710</v>
      </c>
      <c r="L47" s="3550"/>
      <c r="M47" s="3550"/>
      <c r="N47" s="3550"/>
      <c r="O47" s="3550"/>
      <c r="P47" s="3550"/>
    </row>
    <row r="48" spans="1:16" ht="14.25" customHeight="1">
      <c r="A48" s="3453" t="s">
        <v>1711</v>
      </c>
      <c r="B48" s="3454"/>
      <c r="C48" s="3454"/>
      <c r="D48" s="3454"/>
      <c r="E48" s="3454"/>
      <c r="F48" s="3454"/>
      <c r="G48" s="3455"/>
      <c r="H48" s="2946"/>
      <c r="I48" s="947"/>
      <c r="J48" s="2814"/>
      <c r="K48" s="2482">
        <v>1</v>
      </c>
      <c r="L48" s="3545" t="s">
        <v>1712</v>
      </c>
      <c r="M48" s="3545"/>
      <c r="N48" s="3551"/>
      <c r="O48" s="3551"/>
      <c r="P48" s="3551"/>
    </row>
    <row r="49" spans="1:17" ht="12" customHeight="1">
      <c r="A49" s="38" t="s">
        <v>1713</v>
      </c>
      <c r="B49" s="39"/>
      <c r="C49" s="40"/>
      <c r="D49" s="1069" t="s">
        <v>1714</v>
      </c>
      <c r="E49" s="235" t="s">
        <v>1715</v>
      </c>
      <c r="F49" s="41" t="s">
        <v>1716</v>
      </c>
      <c r="G49" s="2533" t="s">
        <v>1717</v>
      </c>
      <c r="H49" s="2946"/>
      <c r="I49" s="947"/>
      <c r="J49" s="2814"/>
      <c r="K49" s="2482">
        <v>2</v>
      </c>
      <c r="L49" s="3545" t="s">
        <v>1718</v>
      </c>
      <c r="M49" s="3545"/>
      <c r="N49" s="3552">
        <f>'数据-取费表'!B2</f>
        <v>44561</v>
      </c>
      <c r="O49" s="3552"/>
      <c r="P49" s="3552"/>
    </row>
    <row r="50" spans="1:17" ht="26.4">
      <c r="A50" s="3463" t="s">
        <v>1719</v>
      </c>
      <c r="B50" s="3417"/>
      <c r="C50" s="3417"/>
      <c r="D50" s="12">
        <f ca="1">IF(H50="情况1",0,IF(H50="情况2",D54,IF(H50="情况3",D55,IF(H50="情况4",D56))))</f>
        <v>61</v>
      </c>
      <c r="E50" s="2061" t="str">
        <f>IF(H50="情况4","(销售额-原购置价)×税（费）率","销售额×税（费）率")</f>
        <v>销售额×税（费）率</v>
      </c>
      <c r="F50" s="2534">
        <f>IF(H50="情况1","免征",'数据-取费表'!E29)</f>
        <v>5.6000000000000001E-2</v>
      </c>
      <c r="G50" s="2535" t="s">
        <v>1720</v>
      </c>
      <c r="H50" s="2536" t="s">
        <v>1721</v>
      </c>
      <c r="I50" s="2946"/>
      <c r="J50" s="2821"/>
      <c r="K50" s="2482">
        <v>3</v>
      </c>
      <c r="L50" s="3545" t="s">
        <v>1722</v>
      </c>
      <c r="M50" s="3545"/>
      <c r="N50" s="3546">
        <f ca="1">I104</f>
        <v>1138</v>
      </c>
      <c r="O50" s="3546"/>
      <c r="P50" s="3546"/>
    </row>
    <row r="51" spans="1:17" ht="25.5" customHeight="1">
      <c r="A51" s="2060" t="s">
        <v>1723</v>
      </c>
      <c r="B51" s="3456" t="s">
        <v>1724</v>
      </c>
      <c r="C51" s="3456"/>
      <c r="D51" s="2537">
        <v>0</v>
      </c>
      <c r="E51" s="261" t="s">
        <v>1725</v>
      </c>
      <c r="F51" s="2538" t="s">
        <v>48</v>
      </c>
      <c r="G51" s="3513"/>
      <c r="H51" s="2539" t="s">
        <v>2684</v>
      </c>
      <c r="I51" s="2540"/>
      <c r="J51" s="2822"/>
      <c r="K51" s="2482">
        <v>4</v>
      </c>
      <c r="L51" s="3545" t="str">
        <f>IF(项目基本情况!F5="房地产抵押价值","房地产抵押价值","抵押担保权已注销时的房地产抵押价值")</f>
        <v>房地产抵押价值</v>
      </c>
      <c r="M51" s="3545"/>
      <c r="N51" s="3546">
        <f ca="1">IF(项目基本情况!F5="房地产抵押价值",I112,I114)</f>
        <v>1138</v>
      </c>
      <c r="O51" s="3546"/>
      <c r="P51" s="3546"/>
    </row>
    <row r="52" spans="1:17" ht="25.5" customHeight="1">
      <c r="A52" s="2050"/>
      <c r="B52" s="3456" t="s">
        <v>1726</v>
      </c>
      <c r="C52" s="3456"/>
      <c r="D52" s="2541"/>
      <c r="E52" s="269"/>
      <c r="F52" s="2538"/>
      <c r="G52" s="3514"/>
      <c r="H52" s="2542" t="s">
        <v>2685</v>
      </c>
      <c r="I52" s="2540"/>
      <c r="J52" s="2822"/>
      <c r="K52" s="3545" t="s">
        <v>1727</v>
      </c>
      <c r="L52" s="3545"/>
      <c r="M52" s="3545"/>
      <c r="N52" s="3545"/>
      <c r="O52" s="3545"/>
      <c r="P52" s="3545"/>
    </row>
    <row r="53" spans="1:17" ht="20.399999999999999" customHeight="1">
      <c r="A53" s="2543"/>
      <c r="B53" s="3456" t="s">
        <v>1728</v>
      </c>
      <c r="C53" s="3456"/>
      <c r="D53" s="1069"/>
      <c r="E53" s="264"/>
      <c r="F53" s="2538"/>
      <c r="G53" s="3515"/>
      <c r="H53" s="2542" t="s">
        <v>2686</v>
      </c>
      <c r="I53" s="2540"/>
      <c r="J53" s="2822"/>
      <c r="K53" s="2483" t="s">
        <v>1729</v>
      </c>
      <c r="L53" s="3545" t="s">
        <v>1730</v>
      </c>
      <c r="M53" s="3545"/>
      <c r="N53" s="2483" t="s">
        <v>1731</v>
      </c>
      <c r="O53" s="2483" t="s">
        <v>1732</v>
      </c>
      <c r="P53" s="2483" t="s">
        <v>1733</v>
      </c>
    </row>
    <row r="54" spans="1:17" ht="24" customHeight="1">
      <c r="A54" s="2051" t="s">
        <v>1734</v>
      </c>
      <c r="B54" s="3456" t="s">
        <v>1735</v>
      </c>
      <c r="C54" s="3456"/>
      <c r="D54" s="1069">
        <f ca="1">ROUND(D47*'数据-取费表'!E29/(1+'数据-取费表'!F30),0)</f>
        <v>61</v>
      </c>
      <c r="E54" s="2061" t="s">
        <v>1736</v>
      </c>
      <c r="F54" s="2544">
        <f>'数据-取费表'!E29</f>
        <v>5.6000000000000001E-2</v>
      </c>
      <c r="G54" s="2545"/>
      <c r="H54" s="947"/>
      <c r="I54" s="2947"/>
      <c r="J54" s="2822"/>
      <c r="K54" s="2482">
        <v>1</v>
      </c>
      <c r="L54" s="3541" t="s">
        <v>1737</v>
      </c>
      <c r="M54" s="3541"/>
      <c r="N54" s="2484">
        <f ca="1">D50</f>
        <v>61</v>
      </c>
      <c r="O54" s="2482" t="str">
        <f>E50</f>
        <v>销售额×税（费）率</v>
      </c>
      <c r="P54" s="2485">
        <f>F50</f>
        <v>5.6000000000000001E-2</v>
      </c>
    </row>
    <row r="55" spans="1:17" ht="12" customHeight="1">
      <c r="A55" s="2051" t="s">
        <v>1738</v>
      </c>
      <c r="B55" s="3418" t="s">
        <v>2778</v>
      </c>
      <c r="C55" s="3457"/>
      <c r="D55" s="1069">
        <f ca="1">ROUND(D47*'数据-取费表'!E29/(1+'数据-取费表'!F30),0)</f>
        <v>61</v>
      </c>
      <c r="E55" s="2061" t="s">
        <v>1736</v>
      </c>
      <c r="F55" s="2544">
        <f>'数据-取费表'!E29</f>
        <v>5.6000000000000001E-2</v>
      </c>
      <c r="G55" s="2545"/>
      <c r="H55" s="947"/>
      <c r="I55" s="2947"/>
      <c r="J55" s="2822"/>
      <c r="K55" s="2482">
        <v>2</v>
      </c>
      <c r="L55" s="3541" t="s">
        <v>1739</v>
      </c>
      <c r="M55" s="3541"/>
      <c r="N55" s="2484">
        <f t="shared" ref="N55:P56" ca="1" si="1">D57</f>
        <v>1</v>
      </c>
      <c r="O55" s="2482" t="str">
        <f t="shared" si="1"/>
        <v>销售额×税（费）率</v>
      </c>
      <c r="P55" s="2485">
        <f t="shared" si="1"/>
        <v>5.0000000000000001E-4</v>
      </c>
    </row>
    <row r="56" spans="1:17" ht="12" customHeight="1">
      <c r="A56" s="2051" t="s">
        <v>1740</v>
      </c>
      <c r="B56" s="3418" t="s">
        <v>2779</v>
      </c>
      <c r="C56" s="3457"/>
      <c r="D56" s="1069">
        <f ca="1">C70</f>
        <v>61</v>
      </c>
      <c r="E56" s="264" t="s">
        <v>1741</v>
      </c>
      <c r="F56" s="2544">
        <f>'数据-取费表'!E29</f>
        <v>5.6000000000000001E-2</v>
      </c>
      <c r="G56" s="2545"/>
      <c r="H56" s="2948"/>
      <c r="I56" s="2947"/>
      <c r="J56" s="2822"/>
      <c r="K56" s="2482">
        <v>3</v>
      </c>
      <c r="L56" s="3541" t="s">
        <v>1742</v>
      </c>
      <c r="M56" s="3541"/>
      <c r="N56" s="2484">
        <f t="shared" ca="1" si="1"/>
        <v>644</v>
      </c>
      <c r="O56" s="2482" t="str">
        <f t="shared" si="1"/>
        <v>增值额×税（费）率</v>
      </c>
      <c r="P56" s="2486" t="str">
        <f t="shared" si="1"/>
        <v>——</v>
      </c>
    </row>
    <row r="57" spans="1:17" ht="24" customHeight="1">
      <c r="A57" s="3416" t="s">
        <v>1743</v>
      </c>
      <c r="B57" s="3417"/>
      <c r="C57" s="3417"/>
      <c r="D57" s="12">
        <f ca="1">IF(H57="个人住宅",0,ROUND(D47*I57,0))</f>
        <v>1</v>
      </c>
      <c r="E57" s="2061" t="s">
        <v>1744</v>
      </c>
      <c r="F57" s="2544">
        <f>IF(H57="正常",I57,"免征")</f>
        <v>5.0000000000000001E-4</v>
      </c>
      <c r="G57" s="2545"/>
      <c r="H57" s="2536" t="s">
        <v>1745</v>
      </c>
      <c r="I57" s="74">
        <f>'数据-取费表'!E37</f>
        <v>5.0000000000000001E-4</v>
      </c>
      <c r="J57" s="2822"/>
      <c r="K57" s="2482">
        <f>IF(H61="非个人房产","",4)</f>
        <v>4</v>
      </c>
      <c r="L57" s="3541" t="str">
        <f>IF(H61="非个人房产","——","个人所得税")</f>
        <v>个人所得税</v>
      </c>
      <c r="M57" s="3541"/>
      <c r="N57" s="2487">
        <f ca="1">D61</f>
        <v>11</v>
      </c>
      <c r="O57" s="2488" t="str">
        <f>E61</f>
        <v>销售额×税（费）率</v>
      </c>
      <c r="P57" s="2489">
        <f>F61</f>
        <v>0.01</v>
      </c>
    </row>
    <row r="58" spans="1:17" ht="25.2">
      <c r="A58" s="3416" t="s">
        <v>1746</v>
      </c>
      <c r="B58" s="3417"/>
      <c r="C58" s="3417"/>
      <c r="D58" s="12">
        <f ca="1">IF(H58="个人住宅",D59,D60)</f>
        <v>644</v>
      </c>
      <c r="E58" s="2061" t="s">
        <v>1747</v>
      </c>
      <c r="F58" s="2544" t="str">
        <f>IF(H58="正常",F60,"免征")</f>
        <v>——</v>
      </c>
      <c r="G58" s="2546" t="s">
        <v>1748</v>
      </c>
      <c r="H58" s="2547" t="s">
        <v>1745</v>
      </c>
      <c r="I58" s="2949"/>
      <c r="J58" s="2822"/>
      <c r="K58" s="2482" t="str">
        <f>IF(项目基本情况!I6="上海银行",IF(K57="",4,K57+1),"")</f>
        <v/>
      </c>
      <c r="L58" s="3543" t="str">
        <f>IF(项目基本情况!I6="上海银行","其他处置费用","")</f>
        <v/>
      </c>
      <c r="M58" s="3544"/>
      <c r="N58" s="2484" t="str">
        <f>IF(项目基本情况!I6="上海银行",N71,"")</f>
        <v/>
      </c>
      <c r="O58" s="3543" t="str">
        <f>IF(项目基本情况!I6="上海银行","包含处置中涉及的律师、诉讼、拍卖、评估等费用","")</f>
        <v/>
      </c>
      <c r="P58" s="3547"/>
    </row>
    <row r="59" spans="1:17" ht="13.2">
      <c r="A59" s="2051" t="s">
        <v>1723</v>
      </c>
      <c r="B59" s="3418" t="s">
        <v>1749</v>
      </c>
      <c r="C59" s="3457"/>
      <c r="D59" s="2537">
        <v>0</v>
      </c>
      <c r="E59" s="261" t="s">
        <v>1725</v>
      </c>
      <c r="F59" s="235"/>
      <c r="G59" s="2545"/>
      <c r="H59" s="2949"/>
      <c r="I59" s="2949"/>
      <c r="J59" s="2822"/>
      <c r="K59" s="3541">
        <f>IF(AND(K57="",K58=""),4,IF(项目基本情况!I6="上海银行",K58+1,K57+1))</f>
        <v>5</v>
      </c>
      <c r="L59" s="3541" t="s">
        <v>1750</v>
      </c>
      <c r="M59" s="2490" t="s">
        <v>1751</v>
      </c>
      <c r="N59" s="2491"/>
      <c r="O59" s="2492">
        <f ca="1">SUMIF(N54:N58,"&lt;9e307")</f>
        <v>717</v>
      </c>
      <c r="P59" s="2493"/>
      <c r="Q59" s="1275">
        <f ca="1">O59/N51</f>
        <v>0.6300527240773286</v>
      </c>
    </row>
    <row r="60" spans="1:17" ht="25.2">
      <c r="A60" s="2051" t="s">
        <v>1734</v>
      </c>
      <c r="B60" s="3418" t="s">
        <v>1752</v>
      </c>
      <c r="C60" s="3456"/>
      <c r="D60" s="12">
        <f ca="1">IF(H60="转让取得",C83,C99)</f>
        <v>644</v>
      </c>
      <c r="E60" s="2061" t="s">
        <v>1747</v>
      </c>
      <c r="F60" s="235" t="s">
        <v>48</v>
      </c>
      <c r="G60" s="2545"/>
      <c r="H60" s="2547" t="s">
        <v>1753</v>
      </c>
      <c r="I60" s="2949"/>
      <c r="J60" s="2822"/>
      <c r="K60" s="3541"/>
      <c r="L60" s="3541"/>
      <c r="M60" s="2490" t="s">
        <v>1754</v>
      </c>
      <c r="N60" s="2494"/>
      <c r="O60" s="2495" t="str">
        <f ca="1">IF(H19="元",NUMBERSTRING(INT(O59),2)&amp;"元整",NUMBERSTRING(INT(O59*10000),2)&amp;"元整")</f>
        <v>柒佰壹拾柒万元整</v>
      </c>
      <c r="P60" s="2496"/>
    </row>
    <row r="61" spans="1:17" ht="27" thickBot="1">
      <c r="A61" s="3440" t="s">
        <v>1755</v>
      </c>
      <c r="B61" s="3441"/>
      <c r="C61" s="3441"/>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5" t="s">
        <v>2683</v>
      </c>
      <c r="I61" s="2850" t="s">
        <v>2769</v>
      </c>
      <c r="J61" s="2822"/>
      <c r="K61" s="3539">
        <f>K59+1</f>
        <v>6</v>
      </c>
      <c r="L61" s="3541" t="s">
        <v>1756</v>
      </c>
      <c r="M61" s="2482" t="s">
        <v>1751</v>
      </c>
      <c r="N61" s="2497"/>
      <c r="O61" s="2498">
        <f ca="1">N51-O59</f>
        <v>421</v>
      </c>
      <c r="P61" s="2499"/>
    </row>
    <row r="62" spans="1:17" ht="12" customHeight="1">
      <c r="A62" s="1426"/>
      <c r="B62" s="2532"/>
      <c r="C62" s="2532"/>
      <c r="D62" s="2532"/>
      <c r="E62" s="1426"/>
      <c r="F62" s="2949"/>
      <c r="G62" s="2949"/>
      <c r="H62" s="2944"/>
      <c r="I62" s="947"/>
      <c r="J62" s="2822"/>
      <c r="K62" s="3540"/>
      <c r="L62" s="3541"/>
      <c r="M62" s="2490" t="s">
        <v>1754</v>
      </c>
      <c r="N62" s="2494"/>
      <c r="O62" s="2495" t="str">
        <f ca="1">IF(H19="元",NUMBERSTRING(INT(O61),2)&amp;"元整",NUMBERSTRING(INT(O61*10000),2)&amp;"元整")</f>
        <v>肆佰贰拾壹万元整</v>
      </c>
      <c r="P62" s="2496"/>
    </row>
    <row r="63" spans="1:17" ht="13.8" thickBot="1">
      <c r="A63" s="3542" t="s">
        <v>1757</v>
      </c>
      <c r="B63" s="3542"/>
      <c r="C63" s="3542"/>
      <c r="D63" s="3542"/>
      <c r="E63" s="3542"/>
      <c r="F63" s="2949"/>
      <c r="G63" s="2949"/>
      <c r="H63" s="2944"/>
      <c r="I63" s="947"/>
      <c r="J63" s="2814"/>
      <c r="K63" s="2482">
        <f>K61+1</f>
        <v>7</v>
      </c>
      <c r="L63" s="3541" t="s">
        <v>1758</v>
      </c>
      <c r="M63" s="3541"/>
      <c r="N63" s="2500"/>
      <c r="O63" s="2501">
        <f ca="1">IF(H19="元",ROUND(O61/项目基本情况!C12,0),ROUND(O61*10000/项目基本情况!C12,0))</f>
        <v>10701</v>
      </c>
      <c r="P63" s="2502"/>
    </row>
    <row r="64" spans="1:17" ht="13.2">
      <c r="A64" s="3475" t="s">
        <v>1759</v>
      </c>
      <c r="B64" s="3476"/>
      <c r="C64" s="1576"/>
      <c r="D64" s="1576" t="s">
        <v>1760</v>
      </c>
      <c r="E64" s="45" t="s">
        <v>1761</v>
      </c>
      <c r="F64" s="2949"/>
      <c r="G64" s="2949"/>
      <c r="H64" s="2944"/>
      <c r="I64" s="947"/>
      <c r="J64" s="2814"/>
      <c r="K64" s="1277"/>
      <c r="L64" s="1277"/>
      <c r="M64" s="1277"/>
      <c r="N64" s="1277"/>
      <c r="O64" s="1277"/>
    </row>
    <row r="65" spans="1:36" ht="13.2">
      <c r="A65" s="46">
        <v>1</v>
      </c>
      <c r="B65" s="47" t="s">
        <v>1762</v>
      </c>
      <c r="C65" s="2753">
        <f ca="1">ROUND((C66+C67)/(1+'数据-取费表'!F30),0)</f>
        <v>1084</v>
      </c>
      <c r="D65" s="47"/>
      <c r="E65" s="48"/>
      <c r="F65" s="2949"/>
      <c r="G65" s="2949"/>
      <c r="H65" s="2944"/>
      <c r="I65" s="947"/>
      <c r="J65" s="2814"/>
      <c r="K65" s="3549" t="s">
        <v>1763</v>
      </c>
      <c r="L65" s="1276" t="s">
        <v>1764</v>
      </c>
      <c r="M65" s="1276">
        <f ca="1">IF(N51&gt;10000,N51*0.5%,IF(AND(N51&gt;1000,N51&lt;=10000),N51*1%,IF(AND(N51&gt;100,N51&lt;=1000),N51*3%,IF(AND(N51&gt;10,N51&lt;=100),N51*5%,N51*8%))))</f>
        <v>11.38</v>
      </c>
      <c r="N65" s="235">
        <f ca="1">ROUND(M65,1)</f>
        <v>11.4</v>
      </c>
      <c r="O65" s="2503"/>
    </row>
    <row r="66" spans="1:36" ht="13.2">
      <c r="A66" s="49" t="s">
        <v>71</v>
      </c>
      <c r="B66" s="50" t="s">
        <v>1765</v>
      </c>
      <c r="C66" s="2754">
        <f ca="1">D47</f>
        <v>1138</v>
      </c>
      <c r="D66" s="50" t="s">
        <v>41</v>
      </c>
      <c r="E66" s="52"/>
      <c r="F66" s="2949"/>
      <c r="G66" s="2949"/>
      <c r="H66" s="2944"/>
      <c r="I66" s="947"/>
      <c r="J66" s="2814"/>
      <c r="K66" s="3549"/>
      <c r="L66" s="1276" t="s">
        <v>1766</v>
      </c>
      <c r="M66" s="1276">
        <f ca="1">IF(N51&gt;2000,N51*0.5%,IF(AND(N51&gt;1000,N51&lt;=2000),N51*0.6%,IF(AND(N51&gt;500,N51&lt;=1000),N51*0.7%,IF(AND(N51&gt;200,N51&lt;=500),N51*0.8%,IF(AND(N51&gt;100,N51&lt;=200),N51*0.9%,IF(AND(N51&gt;50,N51&lt;=100),N51*1%,IF(AND(N51&gt;20,N51&lt;=50),N51*1.5%,IF(AND(N51&gt;10,N51&lt;=20),N51*2%,IF(AND(N51&gt;1,N51&lt;=10),N51*2.5%)))))))))</f>
        <v>6.8280000000000003</v>
      </c>
      <c r="N66" s="235">
        <f t="shared" ref="N66:N67" ca="1" si="2">ROUND(M66,1)</f>
        <v>6.8</v>
      </c>
      <c r="O66" s="2503" t="s">
        <v>1767</v>
      </c>
    </row>
    <row r="67" spans="1:36" ht="13.2">
      <c r="A67" s="49" t="s">
        <v>72</v>
      </c>
      <c r="B67" s="50" t="s">
        <v>1768</v>
      </c>
      <c r="C67" s="2755"/>
      <c r="D67" s="50"/>
      <c r="E67" s="52"/>
      <c r="F67" s="2949"/>
      <c r="G67" s="2949"/>
      <c r="H67" s="2944"/>
      <c r="I67" s="947"/>
      <c r="J67" s="2814"/>
      <c r="K67" s="3549"/>
      <c r="L67" s="1276" t="s">
        <v>1769</v>
      </c>
      <c r="M67" s="1276">
        <f ca="1">IF(N51&gt;1000,N51*0.1%,IF(AND(N51&gt;500,N51&lt;=1000),N51*0.5%,IF(AND(N51&gt;50,N51&lt;=500),N51*1%,IF(AND(N51&gt;1,N51&lt;=50),N51*1.5%))))</f>
        <v>1.1380000000000001</v>
      </c>
      <c r="N67" s="235">
        <f t="shared" ca="1" si="2"/>
        <v>1.1000000000000001</v>
      </c>
      <c r="O67" s="2503" t="s">
        <v>1767</v>
      </c>
    </row>
    <row r="68" spans="1:36" ht="13.2">
      <c r="A68" s="53" t="s">
        <v>47</v>
      </c>
      <c r="B68" s="54" t="s">
        <v>1770</v>
      </c>
      <c r="C68" s="2756"/>
      <c r="D68" s="54" t="s">
        <v>41</v>
      </c>
      <c r="E68" s="1285" t="s">
        <v>1771</v>
      </c>
      <c r="F68" s="2949"/>
      <c r="G68" s="2949"/>
      <c r="H68" s="2944"/>
      <c r="I68" s="947"/>
      <c r="J68" s="2814"/>
      <c r="K68" s="3549"/>
      <c r="L68" s="1276" t="s">
        <v>1772</v>
      </c>
      <c r="M68" s="1276">
        <f ca="1">N51*0.5%</f>
        <v>5.69</v>
      </c>
      <c r="N68" s="235">
        <f ca="1">IF(M68&gt;0.5,0.5,ROUND(M68,0))</f>
        <v>0.5</v>
      </c>
      <c r="O68" s="2503" t="s">
        <v>1773</v>
      </c>
    </row>
    <row r="69" spans="1:36" ht="13.2">
      <c r="A69" s="53" t="s">
        <v>42</v>
      </c>
      <c r="B69" s="54" t="s">
        <v>1774</v>
      </c>
      <c r="C69" s="2757">
        <f ca="1">C65-C68</f>
        <v>1084</v>
      </c>
      <c r="D69" s="50" t="s">
        <v>41</v>
      </c>
      <c r="E69" s="52"/>
      <c r="F69" s="2949"/>
      <c r="G69" s="2949"/>
      <c r="H69" s="2944"/>
      <c r="I69" s="947"/>
      <c r="J69" s="2814"/>
      <c r="K69" s="3549"/>
      <c r="L69" s="1276" t="s">
        <v>1775</v>
      </c>
      <c r="M69" s="1276">
        <f ca="1">IF(N51&gt;=10000,(8.25+(N51-10000)*0.01%),IF(AND(N51&gt;=8000,N51&lt;10000),(7.85+(N51-8000)*0.02%),IF(AND(N51&gt;=5000,N51&lt;8000),(6.65+(N51-5000)*0.04%),IF(AND(N51&gt;=2000,N51&lt;5000),(4.25+(PN51-2000)*0.08%),IF(AND(N51&gt;=1000,N51&lt;2000),(2.75+(N51-1000)*0.15%),IF(AND(N51&gt;=100,N51&lt;1000),(0.5+(N51-100)*0.25%),IF(AND(N51&gt;0,N51&lt;100),N51*0.5%)))))))</f>
        <v>2.9569999999999999</v>
      </c>
      <c r="N69" s="235">
        <f ca="1">ROUND(M69*0.9,1)</f>
        <v>2.7</v>
      </c>
      <c r="O69" s="2503"/>
    </row>
    <row r="70" spans="1:36" ht="13.8" thickBot="1">
      <c r="A70" s="55" t="s">
        <v>46</v>
      </c>
      <c r="B70" s="56" t="s">
        <v>1776</v>
      </c>
      <c r="C70" s="2758">
        <f ca="1">IF(C69&lt;=0,0,ROUND(C69*D70,0))</f>
        <v>61</v>
      </c>
      <c r="D70" s="2211">
        <f>'数据-取费表'!E29</f>
        <v>5.6000000000000001E-2</v>
      </c>
      <c r="E70" s="57"/>
      <c r="F70" s="2949"/>
      <c r="G70" s="2949"/>
      <c r="H70" s="2944"/>
      <c r="I70" s="947"/>
      <c r="J70" s="2814"/>
      <c r="K70" s="3549"/>
      <c r="L70" s="1276" t="s">
        <v>1777</v>
      </c>
      <c r="M70" s="1276">
        <f ca="1">IF(N51&gt;10000,N51*0.5%,IF(AND(N51&gt;5000,N51&lt;=10000),N51*1%,IF(AND(N51&gt;1000,N51&lt;=5000),N51*2%,IF(AND(N51&gt;200,N51&lt;=1000),N51*3%,N51*5%))))</f>
        <v>22.76</v>
      </c>
      <c r="N70" s="235">
        <f ca="1">ROUND(M70,1)</f>
        <v>22.8</v>
      </c>
      <c r="O70" s="2503"/>
    </row>
    <row r="71" spans="1:36" s="1434" customFormat="1" ht="7.5" customHeight="1">
      <c r="A71" s="1446"/>
      <c r="B71" s="1447"/>
      <c r="C71" s="2759"/>
      <c r="D71" s="2254"/>
      <c r="E71" s="1450"/>
      <c r="F71" s="1426"/>
      <c r="G71" s="1426"/>
      <c r="H71" s="1450"/>
      <c r="I71" s="2532"/>
      <c r="J71" s="2814"/>
      <c r="K71" s="3549"/>
      <c r="L71" s="1276" t="s">
        <v>1778</v>
      </c>
      <c r="M71" s="1276"/>
      <c r="N71" s="235">
        <f ca="1">ROUND(SUM(N65:N70),0)</f>
        <v>45</v>
      </c>
      <c r="O71" s="2504">
        <f ca="1">N71/N51</f>
        <v>3.9543057996485061E-2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4.4" thickBot="1">
      <c r="A72" s="3536" t="s">
        <v>1779</v>
      </c>
      <c r="B72" s="3537"/>
      <c r="C72" s="3537"/>
      <c r="D72" s="3537"/>
      <c r="E72" s="3537"/>
      <c r="F72" s="3537"/>
      <c r="G72" s="3537"/>
      <c r="H72" s="3537"/>
      <c r="I72" s="1451"/>
      <c r="J72" s="2823"/>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3.8">
      <c r="A73" s="3475" t="s">
        <v>1759</v>
      </c>
      <c r="B73" s="3476"/>
      <c r="C73" s="1576"/>
      <c r="D73" s="1576"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3.8">
      <c r="A74" s="61">
        <v>1</v>
      </c>
      <c r="B74" s="54" t="s">
        <v>1780</v>
      </c>
      <c r="C74" s="2757">
        <f ca="1">ROUND(D47/(1+'数据-取费表'!F30),0)</f>
        <v>1084</v>
      </c>
      <c r="D74" s="50" t="s">
        <v>41</v>
      </c>
      <c r="E74" s="2057"/>
      <c r="F74" s="2058"/>
      <c r="G74" s="2058"/>
      <c r="H74" s="62"/>
      <c r="I74" s="2760"/>
      <c r="J74" s="2845"/>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3.8">
      <c r="A75" s="63">
        <v>2</v>
      </c>
      <c r="B75" s="41" t="s">
        <v>1782</v>
      </c>
      <c r="C75" s="2757">
        <f ca="1">C76+C80</f>
        <v>7</v>
      </c>
      <c r="D75" s="50" t="s">
        <v>41</v>
      </c>
      <c r="E75" s="2057"/>
      <c r="F75" s="2058"/>
      <c r="G75" s="2058"/>
      <c r="H75" s="62"/>
      <c r="I75" s="2760"/>
      <c r="J75" s="2845"/>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
      <c r="A76" s="49" t="s">
        <v>73</v>
      </c>
      <c r="B76" s="50" t="s">
        <v>1783</v>
      </c>
      <c r="C76" s="50">
        <f>ROUND(IF(G79="2016年5月1日后购买",C77/(1+'数据-取费表'!F30)+C78+C79,C77+C78+C79),0)</f>
        <v>0</v>
      </c>
      <c r="D76" s="50" t="s">
        <v>41</v>
      </c>
      <c r="E76" s="2057"/>
      <c r="F76" s="2058"/>
      <c r="G76" s="2058"/>
      <c r="H76" s="62"/>
      <c r="I76" s="2760"/>
      <c r="J76" s="2845"/>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8.8">
      <c r="A77" s="49" t="s">
        <v>74</v>
      </c>
      <c r="B77" s="50" t="s">
        <v>1784</v>
      </c>
      <c r="C77" s="2237"/>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3">
        <v>0.05</v>
      </c>
      <c r="E78" s="3418" t="s">
        <v>1789</v>
      </c>
      <c r="F78" s="3456"/>
      <c r="G78" s="3456"/>
      <c r="H78" s="3470"/>
      <c r="I78" s="2760"/>
      <c r="J78" s="2845"/>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4"/>
      <c r="G79" s="1455" t="s">
        <v>1792</v>
      </c>
      <c r="H79" s="2059"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5">
        <f ca="1">ROUND(D47*D80/(1+'数据-取费表'!F30),0)</f>
        <v>7</v>
      </c>
      <c r="D80" s="2766">
        <f>'数据-取费表'!E31</f>
        <v>6.000000000000001E-3</v>
      </c>
      <c r="E80" s="3450" t="s">
        <v>1794</v>
      </c>
      <c r="F80" s="3451"/>
      <c r="G80" s="3451"/>
      <c r="H80" s="3452"/>
      <c r="I80" s="609"/>
      <c r="J80" s="2847"/>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3.8">
      <c r="A81" s="53" t="s">
        <v>42</v>
      </c>
      <c r="B81" s="54" t="s">
        <v>1795</v>
      </c>
      <c r="C81" s="2757">
        <f ca="1">C74-C75</f>
        <v>1077</v>
      </c>
      <c r="D81" s="50" t="s">
        <v>41</v>
      </c>
      <c r="E81" s="2057"/>
      <c r="F81" s="2058"/>
      <c r="G81" s="2058"/>
      <c r="H81" s="62"/>
      <c r="I81" s="2760"/>
      <c r="J81" s="284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24">
      <c r="A82" s="53" t="s">
        <v>43</v>
      </c>
      <c r="B82" s="54" t="s">
        <v>1796</v>
      </c>
      <c r="C82" s="2767">
        <f ca="1">IF(C81&lt;=0,0,C81/C75)</f>
        <v>153.85714285714286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4.4" thickBot="1">
      <c r="A83" s="55" t="s">
        <v>44</v>
      </c>
      <c r="B83" s="56" t="s">
        <v>1797</v>
      </c>
      <c r="C83" s="2768">
        <f ca="1">ROUND(IF(C81&lt;=0,0,IF(C82&gt;=200%,C81*60%-C75*35%,IF(C82&gt;=100%,C81*50%-C75*15%,IF(C82&gt;=50%,C81*40%-C75*5%,IF(C82&lt;50%,C81*30%,0))))),0)</f>
        <v>644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4.4" thickBot="1">
      <c r="A85" s="3536" t="s">
        <v>1798</v>
      </c>
      <c r="B85" s="3537"/>
      <c r="C85" s="3537"/>
      <c r="D85" s="3537"/>
      <c r="E85" s="3537"/>
      <c r="F85" s="3537"/>
      <c r="G85" s="3537"/>
      <c r="H85" s="3537"/>
      <c r="I85" s="608"/>
      <c r="J85" s="284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3.8">
      <c r="A86" s="3475" t="s">
        <v>1759</v>
      </c>
      <c r="B86" s="3476"/>
      <c r="C86" s="1576"/>
      <c r="D86" s="1576"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3.8">
      <c r="A87" s="61">
        <v>1</v>
      </c>
      <c r="B87" s="54" t="s">
        <v>1780</v>
      </c>
      <c r="C87" s="2757">
        <f ca="1">ROUND(D47/(1+'数据-取费表'!F30),0)</f>
        <v>1084</v>
      </c>
      <c r="D87" s="50" t="s">
        <v>41</v>
      </c>
      <c r="E87" s="2057"/>
      <c r="F87" s="2058"/>
      <c r="G87" s="2058"/>
      <c r="H87" s="73"/>
      <c r="I87" s="608"/>
      <c r="J87" s="284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3.8">
      <c r="A88" s="63">
        <v>2</v>
      </c>
      <c r="B88" s="41" t="s">
        <v>1782</v>
      </c>
      <c r="C88" s="2757">
        <f ca="1">IF(H90="仅含出让金",C89+C92+C93+C94+C95+C96,C89+C93+C94+C95+C96)</f>
        <v>7</v>
      </c>
      <c r="D88" s="2769"/>
      <c r="E88" s="2057"/>
      <c r="F88" s="2058"/>
      <c r="G88" s="2058"/>
      <c r="H88" s="73"/>
      <c r="I88" s="608"/>
      <c r="J88" s="2846"/>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3.8">
      <c r="A89" s="49" t="s">
        <v>73</v>
      </c>
      <c r="B89" s="50" t="s">
        <v>1799</v>
      </c>
      <c r="C89" s="2765">
        <f>C90+C91</f>
        <v>0</v>
      </c>
      <c r="D89" s="2766"/>
      <c r="E89" s="2054"/>
      <c r="F89" s="2055"/>
      <c r="G89" s="2055"/>
      <c r="H89" s="2056"/>
      <c r="I89" s="608"/>
      <c r="J89" s="284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4">
      <c r="A90" s="49" t="s">
        <v>74</v>
      </c>
      <c r="B90" s="50" t="s">
        <v>1800</v>
      </c>
      <c r="C90" s="2770"/>
      <c r="D90" s="2766"/>
      <c r="E90" s="74" t="s">
        <v>1801</v>
      </c>
      <c r="F90" s="2055"/>
      <c r="G90" s="75" t="s">
        <v>1802</v>
      </c>
      <c r="H90" s="1457"/>
      <c r="I90" s="608"/>
      <c r="J90" s="2846"/>
      <c r="K90" s="2941" t="s">
        <v>2761</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3.8">
      <c r="A91" s="49" t="s">
        <v>75</v>
      </c>
      <c r="B91" s="50" t="s">
        <v>1790</v>
      </c>
      <c r="C91" s="2765">
        <f>ROUND(C90*D91,0)</f>
        <v>0</v>
      </c>
      <c r="D91" s="2766">
        <f>'数据-取费表'!E36+'数据-取费表'!E37</f>
        <v>3.0499999999999999E-2</v>
      </c>
      <c r="E91" s="74" t="s">
        <v>1803</v>
      </c>
      <c r="F91" s="2055"/>
      <c r="G91" s="2055"/>
      <c r="H91" s="2056"/>
      <c r="I91" s="608"/>
      <c r="J91" s="2846"/>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4">
      <c r="A92" s="49" t="s">
        <v>77</v>
      </c>
      <c r="B92" s="50" t="s">
        <v>1804</v>
      </c>
      <c r="C92" s="2770"/>
      <c r="D92" s="2766"/>
      <c r="E92" s="74" t="str">
        <f>IF(H90="-","土地取得成本中已包含该笔费用"," ")</f>
        <v xml:space="preserve"> </v>
      </c>
      <c r="F92" s="2055"/>
      <c r="G92" s="3511" t="s">
        <v>2678</v>
      </c>
      <c r="H92" s="3538"/>
      <c r="I92" s="608"/>
      <c r="J92" s="2846"/>
      <c r="K92" s="2941" t="s">
        <v>2762</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5">
        <f>IF(H93="——",成本法!C33,I93)</f>
        <v>0</v>
      </c>
      <c r="D93" s="2766"/>
      <c r="E93" s="3450" t="s">
        <v>1806</v>
      </c>
      <c r="F93" s="3451"/>
      <c r="G93" s="3451"/>
      <c r="H93" s="1458" t="s">
        <v>1807</v>
      </c>
      <c r="I93" s="2771"/>
      <c r="J93" s="2848"/>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5">
        <f>ROUND((C89+C92+C93)*D94,0)</f>
        <v>0</v>
      </c>
      <c r="D94" s="2766">
        <v>0.1</v>
      </c>
      <c r="E94" s="3450" t="s">
        <v>1809</v>
      </c>
      <c r="F94" s="3451"/>
      <c r="G94" s="3451"/>
      <c r="H94" s="3452"/>
      <c r="I94" s="608"/>
      <c r="J94" s="2846"/>
      <c r="K94" s="2942" t="s">
        <v>2763</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5">
        <f ca="1">ROUND(D47*D95/(1+'数据-取费表'!F30),0)</f>
        <v>7</v>
      </c>
      <c r="D95" s="2766">
        <f>'数据-取费表'!E31</f>
        <v>6.000000000000001E-3</v>
      </c>
      <c r="E95" s="3450" t="s">
        <v>1794</v>
      </c>
      <c r="F95" s="3451"/>
      <c r="G95" s="3451"/>
      <c r="H95" s="3452"/>
      <c r="I95" s="608"/>
      <c r="J95" s="284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5">
        <f>ROUND((C89+C92+C93)*D96,0)</f>
        <v>0</v>
      </c>
      <c r="D96" s="2766">
        <v>0.2</v>
      </c>
      <c r="E96" s="3450" t="s">
        <v>1811</v>
      </c>
      <c r="F96" s="3451"/>
      <c r="G96" s="3451"/>
      <c r="H96" s="3452"/>
      <c r="I96" s="608"/>
      <c r="J96" s="284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3.8">
      <c r="A97" s="53" t="s">
        <v>42</v>
      </c>
      <c r="B97" s="54" t="s">
        <v>1795</v>
      </c>
      <c r="C97" s="2757">
        <f ca="1">ROUND(C87-C88,0)</f>
        <v>1077</v>
      </c>
      <c r="D97" s="50" t="s">
        <v>41</v>
      </c>
      <c r="E97" s="2057"/>
      <c r="F97" s="2058"/>
      <c r="G97" s="2058"/>
      <c r="H97" s="73"/>
      <c r="I97" s="608"/>
      <c r="J97" s="284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24">
      <c r="A98" s="53" t="s">
        <v>43</v>
      </c>
      <c r="B98" s="54" t="s">
        <v>1796</v>
      </c>
      <c r="C98" s="2767">
        <f ca="1">IF(C97&lt;=0,0,C97/C88)</f>
        <v>153.85714285714286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6"/>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4.4" thickBot="1">
      <c r="A99" s="66" t="s">
        <v>44</v>
      </c>
      <c r="B99" s="56" t="s">
        <v>1797</v>
      </c>
      <c r="C99" s="67">
        <f ca="1">ROUND(IF(C97&lt;=0,0,IF(C98&gt;=200%,C97*60%-C88*35%,IF(C98&gt;=100%,C97*50%-C88*15%,IF(C98&gt;=50%,C97*40%-C88*5%,IF(C98&lt;50%,C97*30%,0))))),0)</f>
        <v>644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3.8">
      <c r="A101" s="3497" t="s">
        <v>1813</v>
      </c>
      <c r="B101" s="3498"/>
      <c r="C101" s="3498"/>
      <c r="D101" s="3499"/>
      <c r="E101" s="1430"/>
      <c r="F101" s="3533" t="s">
        <v>2720</v>
      </c>
      <c r="G101" s="3534"/>
      <c r="H101" s="3534"/>
      <c r="I101" s="3535"/>
      <c r="J101" s="2849"/>
    </row>
    <row r="102" spans="1:36" ht="15">
      <c r="A102" s="3509" t="s">
        <v>1815</v>
      </c>
      <c r="B102" s="3510"/>
      <c r="C102" s="2772" t="str">
        <f>C4</f>
        <v>比较法-办公</v>
      </c>
      <c r="D102" s="2773" t="str">
        <f>D4</f>
        <v>收益法</v>
      </c>
      <c r="E102" s="1430"/>
      <c r="F102" s="3421" t="s">
        <v>2721</v>
      </c>
      <c r="G102" s="3422"/>
      <c r="H102" s="3427" t="s">
        <v>2722</v>
      </c>
      <c r="I102" s="3420"/>
      <c r="J102" s="2829"/>
    </row>
    <row r="103" spans="1:36" ht="13.2">
      <c r="A103" s="3530" t="s">
        <v>2716</v>
      </c>
      <c r="B103" s="2276" t="str">
        <f>IF(H19="元","总价（元）","总价（万元）")</f>
        <v>总价（万元）</v>
      </c>
      <c r="C103" s="1276">
        <f ca="1">C19</f>
        <v>393</v>
      </c>
      <c r="D103" s="2776">
        <f ca="1">D19</f>
        <v>294</v>
      </c>
      <c r="E103" s="1430"/>
      <c r="F103" s="3531"/>
      <c r="G103" s="3532"/>
      <c r="H103" s="3419">
        <f>典型户型修正!B25</f>
        <v>393.43</v>
      </c>
      <c r="I103" s="3420"/>
      <c r="J103" s="2829"/>
    </row>
    <row r="104" spans="1:36" ht="13.2">
      <c r="A104" s="3530"/>
      <c r="B104" s="2276" t="s">
        <v>2717</v>
      </c>
      <c r="C104" s="2777">
        <f ca="1">C20</f>
        <v>31287</v>
      </c>
      <c r="D104" s="2778">
        <f ca="1">D20</f>
        <v>23412</v>
      </c>
      <c r="E104" s="1430"/>
      <c r="F104" s="3431" t="s">
        <v>2723</v>
      </c>
      <c r="G104" s="3432"/>
      <c r="H104" s="2786" t="str">
        <f>C110</f>
        <v>总价（万元）</v>
      </c>
      <c r="I104" s="2787">
        <f ca="1">H125</f>
        <v>1138</v>
      </c>
      <c r="J104" s="2829"/>
    </row>
    <row r="105" spans="1:36" ht="13.2">
      <c r="A105" s="3530" t="s">
        <v>2718</v>
      </c>
      <c r="B105" s="2214" t="str">
        <f>B103</f>
        <v>总价（万元）</v>
      </c>
      <c r="C105" s="12">
        <f ca="1">ROUND(IF('数据-取费表'!B4="总价",G19,IF(H19="元",G20*'数据-取费表'!E5,G20*'数据-取费表'!E5/10000)),0)</f>
        <v>363</v>
      </c>
      <c r="D105" s="2779"/>
      <c r="E105" s="1430"/>
      <c r="F105" s="3431"/>
      <c r="G105" s="3432"/>
      <c r="H105" s="2786" t="s">
        <v>2724</v>
      </c>
      <c r="I105" s="52">
        <f ca="1">I125</f>
        <v>28925</v>
      </c>
      <c r="J105" s="2813"/>
    </row>
    <row r="106" spans="1:36" ht="13.2">
      <c r="A106" s="3530"/>
      <c r="B106" s="2276" t="s">
        <v>2717</v>
      </c>
      <c r="C106" s="1450">
        <f ca="1">ROUND(IF('数据-取费表'!B4="楼面单价",G20,IF(H19="元",G19/'数据-取费表'!E5,G19*10000/'数据-取费表'!E5)),0)</f>
        <v>28922</v>
      </c>
      <c r="D106" s="2779"/>
      <c r="E106" s="1430"/>
      <c r="F106" s="3431"/>
      <c r="G106" s="3432"/>
      <c r="H106" s="3491"/>
      <c r="I106" s="3492"/>
      <c r="J106" s="2830"/>
    </row>
    <row r="107" spans="1:36" ht="13.2">
      <c r="A107" s="3524" t="s">
        <v>2719</v>
      </c>
      <c r="B107" s="2780" t="str">
        <f>B103</f>
        <v>总价（万元）</v>
      </c>
      <c r="C107" s="2781">
        <f ca="1">H125</f>
        <v>1138</v>
      </c>
      <c r="D107" s="2782"/>
      <c r="E107" s="1430"/>
      <c r="F107" s="3495" t="s">
        <v>2725</v>
      </c>
      <c r="G107" s="3496"/>
      <c r="H107" s="2788" t="str">
        <f>C112</f>
        <v>总额（万元）</v>
      </c>
      <c r="I107" s="2787">
        <f>SUMIF(I108:I110,"&lt;9E307")</f>
        <v>0</v>
      </c>
      <c r="J107" s="2829"/>
    </row>
    <row r="108" spans="1:36" ht="14.4" thickBot="1">
      <c r="A108" s="3490"/>
      <c r="B108" s="2783" t="s">
        <v>2717</v>
      </c>
      <c r="C108" s="2784">
        <f ca="1">I125</f>
        <v>28925</v>
      </c>
      <c r="D108" s="2785"/>
      <c r="E108" s="1430"/>
      <c r="F108" s="3433" t="s">
        <v>2726</v>
      </c>
      <c r="G108" s="3434"/>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3.8">
      <c r="A109" s="3527" t="s">
        <v>1816</v>
      </c>
      <c r="B109" s="3528"/>
      <c r="C109" s="3528"/>
      <c r="D109" s="3529"/>
      <c r="E109" s="1430"/>
      <c r="F109" s="3433" t="s">
        <v>2727</v>
      </c>
      <c r="G109" s="3434"/>
      <c r="H109" s="2788" t="str">
        <f>C114</f>
        <v>总额（万元）</v>
      </c>
      <c r="I109" s="52">
        <f>C39</f>
        <v>0</v>
      </c>
      <c r="J109" s="2813"/>
    </row>
    <row r="110" spans="1:36" ht="13.2">
      <c r="A110" s="3431" t="s">
        <v>2730</v>
      </c>
      <c r="B110" s="3432"/>
      <c r="C110" s="2786" t="str">
        <f>B103</f>
        <v>总价（万元）</v>
      </c>
      <c r="D110" s="2787">
        <f ca="1">H125</f>
        <v>1138</v>
      </c>
      <c r="E110" s="1430"/>
      <c r="F110" s="3433" t="s">
        <v>2728</v>
      </c>
      <c r="G110" s="3434"/>
      <c r="H110" s="2788" t="str">
        <f>C115</f>
        <v>总额（万元）</v>
      </c>
      <c r="I110" s="52">
        <f>C40</f>
        <v>0</v>
      </c>
      <c r="J110" s="2813"/>
    </row>
    <row r="111" spans="1:36" ht="13.2">
      <c r="A111" s="3431"/>
      <c r="B111" s="3432"/>
      <c r="C111" s="2786" t="s">
        <v>2731</v>
      </c>
      <c r="D111" s="52">
        <f ca="1">I125</f>
        <v>28925</v>
      </c>
      <c r="E111" s="1430"/>
      <c r="F111" s="3431"/>
      <c r="G111" s="3432"/>
      <c r="H111" s="3493"/>
      <c r="I111" s="3494"/>
      <c r="J111" s="2831"/>
    </row>
    <row r="112" spans="1:36" ht="28.5" customHeight="1">
      <c r="A112" s="3438" t="s">
        <v>2725</v>
      </c>
      <c r="B112" s="3439"/>
      <c r="C112" s="2788" t="str">
        <f>IF(H19="元","总额（元）","总额（万元）")</f>
        <v>总额（万元）</v>
      </c>
      <c r="D112" s="2787">
        <f>IF(D38="正常操作",I108+I109+I110,I109+I110)</f>
        <v>0</v>
      </c>
      <c r="E112" s="1430"/>
      <c r="F112" s="3423" t="str">
        <f>IF(项目基本情况!F5="已注销","——","3.房地产抵押价值")</f>
        <v>3.房地产抵押价值</v>
      </c>
      <c r="G112" s="3424"/>
      <c r="H112" s="1450" t="str">
        <f>C116</f>
        <v>总价（万元）</v>
      </c>
      <c r="I112" s="2787">
        <f ca="1">IF(F112="——","——",I104-I107)</f>
        <v>1138</v>
      </c>
      <c r="J112" s="2829"/>
    </row>
    <row r="113" spans="1:27" ht="13.2">
      <c r="A113" s="3433" t="s">
        <v>2732</v>
      </c>
      <c r="B113" s="3434"/>
      <c r="C113" s="2788" t="str">
        <f>C112</f>
        <v>总额（万元）</v>
      </c>
      <c r="D113" s="52">
        <f>IF(D38="同一抵押权人同一抵押物续贷",C38&amp;"（未扣减，详见特别提示）",C38)</f>
        <v>0</v>
      </c>
      <c r="E113" s="1430"/>
      <c r="F113" s="3522"/>
      <c r="G113" s="3523"/>
      <c r="H113" s="2786" t="s">
        <v>2724</v>
      </c>
      <c r="I113" s="2790">
        <f ca="1">D117</f>
        <v>28925</v>
      </c>
      <c r="J113" s="2832"/>
    </row>
    <row r="114" spans="1:27" ht="13.2">
      <c r="A114" s="3433" t="s">
        <v>2733</v>
      </c>
      <c r="B114" s="3434"/>
      <c r="C114" s="2788" t="str">
        <f>C112</f>
        <v>总额（万元）</v>
      </c>
      <c r="D114" s="52">
        <f>C39</f>
        <v>0</v>
      </c>
      <c r="E114" s="1430"/>
      <c r="F114" s="3423" t="str">
        <f>IF(项目基本情况!F5="已注销及未注销","4.抵押担保权已注销时的房地产抵押价值",IF(项目基本情况!F5="已注销","3.抵押担保权已注销时的房地产抵押价值","——"))</f>
        <v>——</v>
      </c>
      <c r="G114" s="3424"/>
      <c r="H114" s="1450" t="str">
        <f>C118</f>
        <v>总价（万元）</v>
      </c>
      <c r="I114" s="2787" t="str">
        <f>IF(F114="——","——",I104-I109-I110)</f>
        <v>——</v>
      </c>
      <c r="J114" s="2829"/>
    </row>
    <row r="115" spans="1:27" ht="13.2">
      <c r="A115" s="3433" t="s">
        <v>2734</v>
      </c>
      <c r="B115" s="3434"/>
      <c r="C115" s="2788" t="str">
        <f>C112</f>
        <v>总额（万元）</v>
      </c>
      <c r="D115" s="52">
        <f>C40</f>
        <v>0</v>
      </c>
      <c r="E115" s="1430"/>
      <c r="F115" s="3522"/>
      <c r="G115" s="3523"/>
      <c r="H115" s="2786" t="s">
        <v>2724</v>
      </c>
      <c r="I115" s="52" t="str">
        <f>D119</f>
        <v>——</v>
      </c>
      <c r="J115" s="2813"/>
    </row>
    <row r="116" spans="1:27" ht="13.2">
      <c r="A116" s="3431" t="str">
        <f>IF(项目基本情况!F5="已注销","——","3.房地产抵押价值")</f>
        <v>3.房地产抵押价值</v>
      </c>
      <c r="B116" s="3432"/>
      <c r="C116" s="2786" t="str">
        <f>B103</f>
        <v>总价（万元）</v>
      </c>
      <c r="D116" s="2787">
        <f ca="1">IF(A116="——","——",D110-D112)</f>
        <v>1138</v>
      </c>
      <c r="E116" s="1430"/>
      <c r="F116" s="3423" t="str">
        <f>IF(项目基本情况!G5="抵押净值",IF(OR(项目基本情况!F5="已注销",项目基本情况!F5="房地产抵押价值"),"4.抵押净值","5.抵押净值"),"——")</f>
        <v>——</v>
      </c>
      <c r="G116" s="3424"/>
      <c r="H116" s="2786" t="str">
        <f>C120</f>
        <v>总价（万元）</v>
      </c>
      <c r="I116" s="2787" t="str">
        <f>IF(F116="——","——",O61)</f>
        <v>——</v>
      </c>
      <c r="J116" s="2829"/>
    </row>
    <row r="117" spans="1:27" ht="13.8" thickBot="1">
      <c r="A117" s="3431"/>
      <c r="B117" s="3432"/>
      <c r="C117" s="2786" t="s">
        <v>2731</v>
      </c>
      <c r="D117" s="52">
        <f ca="1">ROUND(IF(D116=D110,D111,IF(H19="元",D116/B125,D116*10000/B125)),0)</f>
        <v>28925</v>
      </c>
      <c r="E117" s="1430"/>
      <c r="F117" s="3425"/>
      <c r="G117" s="3426"/>
      <c r="H117" s="2791" t="s">
        <v>2724</v>
      </c>
      <c r="I117" s="2775" t="str">
        <f ca="1">D121</f>
        <v>——</v>
      </c>
      <c r="J117" s="2813"/>
    </row>
    <row r="118" spans="1:27" ht="15.6">
      <c r="A118" s="3431" t="str">
        <f>IF(项目基本情况!F5="已注销及未注销","4.抵押担保权已注销时的房地产抵押价值",IF(项目基本情况!F5="已注销","3.抵押担保权已注销时的房地产抵押价值","——"))</f>
        <v>——</v>
      </c>
      <c r="B118" s="3432"/>
      <c r="C118" s="2786" t="str">
        <f>B103</f>
        <v>总价（万元）</v>
      </c>
      <c r="D118" s="2787" t="str">
        <f>IF(A118="——","——",D110-D114-D115)</f>
        <v>——</v>
      </c>
      <c r="E118" s="1430"/>
      <c r="F118" s="3517"/>
      <c r="G118" s="3517"/>
      <c r="H118" s="3481"/>
      <c r="I118" s="3481"/>
      <c r="J118" s="2833"/>
      <c r="O118" s="32"/>
      <c r="P118" s="32"/>
    </row>
    <row r="119" spans="1:27" s="1277" customFormat="1" ht="13.2">
      <c r="A119" s="3431"/>
      <c r="B119" s="3432"/>
      <c r="C119" s="2786" t="s">
        <v>2731</v>
      </c>
      <c r="D119" s="52" t="str">
        <f>IF(A118="——","——",IF(H19="元",ROUND(D118/B125,0),ROUND(D118*10000/B125,0)))</f>
        <v>——</v>
      </c>
      <c r="E119" s="1430"/>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834"/>
      <c r="K119" s="659"/>
      <c r="L119" s="659"/>
      <c r="M119" s="659"/>
      <c r="N119" s="659"/>
      <c r="O119" s="32"/>
      <c r="P119" s="32"/>
      <c r="Q119" s="659"/>
      <c r="R119" s="659"/>
      <c r="S119" s="659"/>
      <c r="T119" s="659"/>
      <c r="U119" s="659"/>
      <c r="V119" s="659"/>
      <c r="W119" s="659"/>
      <c r="X119" s="659"/>
      <c r="Y119" s="659"/>
      <c r="Z119" s="659"/>
      <c r="AA119" s="659"/>
    </row>
    <row r="120" spans="1:27" s="1277" customFormat="1" ht="13.2">
      <c r="A120" s="3431" t="str">
        <f>IF(项目基本情况!G5="抵押净值",IF(OR(项目基本情况!F5="已注销",项目基本情况!F5="房地产抵押价值"),"4.抵押净值","5.抵押净值"),"——")</f>
        <v>——</v>
      </c>
      <c r="B120" s="3432"/>
      <c r="C120" s="2786" t="str">
        <f>B103</f>
        <v>总价（万元）</v>
      </c>
      <c r="D120" s="2787" t="str">
        <f>IF(A120="——","——",O61)</f>
        <v>——</v>
      </c>
      <c r="E120" s="1430"/>
      <c r="F120" s="1484"/>
      <c r="G120" s="1484"/>
      <c r="H120" s="1484"/>
      <c r="I120" s="1484"/>
      <c r="J120" s="2834"/>
      <c r="K120" s="659"/>
      <c r="L120" s="659"/>
      <c r="M120" s="659"/>
      <c r="N120" s="659"/>
      <c r="O120" s="32"/>
      <c r="P120" s="32"/>
      <c r="Q120" s="659"/>
      <c r="R120" s="659"/>
      <c r="S120" s="659"/>
      <c r="T120" s="659"/>
      <c r="U120" s="659"/>
      <c r="V120" s="659"/>
      <c r="W120" s="659"/>
      <c r="X120" s="659"/>
      <c r="Y120" s="659"/>
      <c r="Z120" s="659"/>
      <c r="AA120" s="659"/>
    </row>
    <row r="121" spans="1:27" s="1277" customFormat="1" ht="13.8" thickBot="1">
      <c r="A121" s="3436"/>
      <c r="B121" s="3437"/>
      <c r="C121" s="2791" t="s">
        <v>2731</v>
      </c>
      <c r="D121" s="2775" t="str">
        <f ca="1">IF(D120=D110,D111,IF(A120="——","——",O63))</f>
        <v>——</v>
      </c>
      <c r="E121" s="1430"/>
      <c r="F121" s="1484"/>
      <c r="G121" s="1484"/>
      <c r="H121" s="1484"/>
      <c r="I121" s="1484"/>
      <c r="J121" s="2834"/>
      <c r="K121" s="659"/>
      <c r="L121" s="659"/>
      <c r="M121" s="659"/>
      <c r="N121" s="659"/>
      <c r="O121" s="32"/>
      <c r="P121" s="32"/>
      <c r="Q121" s="659"/>
      <c r="R121" s="659"/>
      <c r="S121" s="659"/>
      <c r="T121" s="659"/>
      <c r="U121" s="659"/>
      <c r="V121" s="659"/>
      <c r="W121" s="659"/>
      <c r="X121" s="659"/>
      <c r="Y121" s="659"/>
      <c r="Z121" s="659"/>
      <c r="AA121" s="659"/>
    </row>
    <row r="122" spans="1:27" s="1277" customFormat="1" ht="14.4">
      <c r="A122" s="3482" t="s">
        <v>1855</v>
      </c>
      <c r="B122" s="3483"/>
      <c r="C122" s="3483"/>
      <c r="D122" s="3483"/>
      <c r="E122" s="3483"/>
      <c r="F122" s="3483"/>
      <c r="G122" s="3483"/>
      <c r="H122" s="3483"/>
      <c r="I122" s="3483"/>
      <c r="J122" s="2835"/>
      <c r="K122" s="659"/>
      <c r="L122" s="659"/>
      <c r="M122" s="659"/>
      <c r="N122" s="659"/>
      <c r="O122" s="659"/>
      <c r="P122" s="659"/>
      <c r="Q122" s="659"/>
      <c r="R122" s="659"/>
      <c r="S122" s="659"/>
      <c r="T122" s="659"/>
      <c r="U122" s="659"/>
      <c r="V122" s="659"/>
      <c r="W122" s="659"/>
      <c r="X122" s="659"/>
      <c r="Y122" s="659"/>
      <c r="Z122" s="659"/>
      <c r="AA122" s="659"/>
    </row>
    <row r="123" spans="1:27" s="1277" customFormat="1" ht="13.2">
      <c r="A123" s="3416" t="s">
        <v>2735</v>
      </c>
      <c r="B123" s="3442" t="s">
        <v>2736</v>
      </c>
      <c r="C123" s="3442" t="s">
        <v>2742</v>
      </c>
      <c r="D123" s="3504" t="s">
        <v>2737</v>
      </c>
      <c r="E123" s="3505"/>
      <c r="F123" s="3417" t="s">
        <v>2743</v>
      </c>
      <c r="G123" s="3417"/>
      <c r="H123" s="3417" t="s">
        <v>2738</v>
      </c>
      <c r="I123" s="3503"/>
      <c r="J123" s="2813"/>
      <c r="K123" s="659"/>
      <c r="L123" s="659"/>
      <c r="M123" s="659"/>
      <c r="N123" s="659"/>
      <c r="O123" s="659"/>
      <c r="P123" s="659"/>
      <c r="Q123" s="659"/>
      <c r="R123" s="659"/>
      <c r="S123" s="659"/>
      <c r="T123" s="659"/>
      <c r="U123" s="659"/>
      <c r="V123" s="659"/>
      <c r="W123" s="659"/>
      <c r="X123" s="659"/>
      <c r="Y123" s="659"/>
      <c r="Z123" s="659"/>
      <c r="AA123" s="659"/>
    </row>
    <row r="124" spans="1:27" s="1277" customFormat="1" ht="13.2">
      <c r="A124" s="3416"/>
      <c r="B124" s="3443"/>
      <c r="C124" s="3443"/>
      <c r="D124" s="2061" t="s">
        <v>2739</v>
      </c>
      <c r="E124" s="2061" t="s">
        <v>2744</v>
      </c>
      <c r="F124" s="2061" t="s">
        <v>2739</v>
      </c>
      <c r="G124" s="2061" t="s">
        <v>2740</v>
      </c>
      <c r="H124" s="2061"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7" customFormat="1" ht="13.2">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1138</v>
      </c>
      <c r="I125" s="52">
        <f ca="1">C35</f>
        <v>28925</v>
      </c>
      <c r="J125" s="2813"/>
      <c r="K125" s="659"/>
      <c r="L125" s="659"/>
      <c r="M125" s="659"/>
      <c r="N125" s="659"/>
      <c r="O125" s="659"/>
      <c r="P125" s="659"/>
      <c r="Q125" s="659"/>
      <c r="R125" s="659"/>
      <c r="S125" s="659"/>
      <c r="T125" s="659"/>
      <c r="U125" s="659"/>
      <c r="V125" s="659"/>
      <c r="W125" s="659"/>
      <c r="X125" s="659"/>
      <c r="Y125" s="659"/>
      <c r="Z125" s="659"/>
      <c r="AA125" s="659"/>
    </row>
    <row r="126" spans="1:27" s="1277" customFormat="1" ht="13.2">
      <c r="A126" s="3416" t="s">
        <v>2741</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 ca="1">IF(H19="元",NUMBERSTRING(INT(H125),2)&amp;"元整",NUMBERSTRING(INT(H125*10000),2)&amp;"元整")</f>
        <v>壹仟壹佰叁拾捌万元整</v>
      </c>
      <c r="I126" s="3445"/>
      <c r="J126" s="2836"/>
      <c r="K126" s="659"/>
      <c r="L126" s="659"/>
      <c r="M126" s="659"/>
      <c r="N126" s="659"/>
      <c r="O126" s="659"/>
      <c r="P126" s="659"/>
      <c r="Q126" s="659"/>
      <c r="R126" s="659"/>
      <c r="S126" s="659"/>
      <c r="T126" s="659"/>
      <c r="U126" s="659"/>
      <c r="V126" s="659"/>
      <c r="W126" s="659"/>
      <c r="X126" s="659"/>
      <c r="Y126" s="659"/>
      <c r="Z126" s="659"/>
      <c r="AA126" s="659"/>
    </row>
    <row r="127" spans="1:27" s="1277" customFormat="1" ht="13.2">
      <c r="A127" s="3421" t="str">
        <f>IF(项目基本情况!D5="房地产市场价值","——",MID(A112,3,LEN(A112)-2))</f>
        <v>估价师所知悉的法定优先受偿款</v>
      </c>
      <c r="B127" s="3427"/>
      <c r="C127" s="3422"/>
      <c r="D127" s="3419">
        <f>I107</f>
        <v>0</v>
      </c>
      <c r="E127" s="3427"/>
      <c r="F127" s="3427"/>
      <c r="G127" s="3427"/>
      <c r="H127" s="3427"/>
      <c r="I127" s="3420"/>
      <c r="J127" s="2829"/>
      <c r="K127" s="659"/>
      <c r="L127" s="659"/>
      <c r="M127" s="659"/>
      <c r="N127" s="659"/>
      <c r="O127" s="659"/>
      <c r="P127" s="659"/>
      <c r="Q127" s="659"/>
      <c r="R127" s="659"/>
      <c r="S127" s="659"/>
      <c r="T127" s="659"/>
      <c r="U127" s="659"/>
      <c r="V127" s="659"/>
      <c r="W127" s="659"/>
      <c r="X127" s="659"/>
      <c r="Y127" s="659"/>
      <c r="Z127" s="659"/>
      <c r="AA127" s="659"/>
    </row>
    <row r="128" spans="1:27" s="1277" customFormat="1" ht="13.2">
      <c r="A128" s="3488" t="s">
        <v>2741</v>
      </c>
      <c r="B128" s="3456"/>
      <c r="C128" s="3457"/>
      <c r="D128" s="3428">
        <f>H111</f>
        <v>0</v>
      </c>
      <c r="E128" s="3429"/>
      <c r="F128" s="3429"/>
      <c r="G128" s="3429"/>
      <c r="H128" s="3429"/>
      <c r="I128" s="3430"/>
      <c r="J128" s="2837"/>
      <c r="K128" s="659"/>
      <c r="L128" s="659"/>
      <c r="M128" s="659"/>
      <c r="N128" s="659"/>
      <c r="O128" s="659"/>
      <c r="P128" s="659"/>
      <c r="Q128" s="659"/>
      <c r="R128" s="659"/>
      <c r="S128" s="659"/>
      <c r="T128" s="659"/>
      <c r="U128" s="659"/>
      <c r="V128" s="659"/>
      <c r="W128" s="659"/>
      <c r="X128" s="659"/>
      <c r="Y128" s="659"/>
      <c r="Z128" s="659"/>
      <c r="AA128" s="659"/>
    </row>
    <row r="129" spans="1:27" s="1277" customFormat="1" ht="13.2">
      <c r="A129" s="3431" t="str">
        <f>IF(项目基本情况!D5="房地产市场价值","——",MID(A116,3,LEN(A116)-2))</f>
        <v>房地产抵押价值</v>
      </c>
      <c r="B129" s="3432"/>
      <c r="C129" s="3432"/>
      <c r="D129" s="3419">
        <f ca="1">I112</f>
        <v>1138</v>
      </c>
      <c r="E129" s="3427"/>
      <c r="F129" s="3427"/>
      <c r="G129" s="3427"/>
      <c r="H129" s="3427"/>
      <c r="I129" s="3420"/>
      <c r="J129" s="2829"/>
      <c r="K129" s="659"/>
      <c r="L129" s="659"/>
      <c r="M129" s="659"/>
      <c r="N129" s="659"/>
      <c r="O129" s="659"/>
      <c r="P129" s="659"/>
      <c r="Q129" s="659"/>
      <c r="R129" s="659"/>
      <c r="S129" s="659"/>
      <c r="T129" s="659"/>
      <c r="U129" s="659"/>
      <c r="V129" s="659"/>
      <c r="W129" s="659"/>
      <c r="X129" s="659"/>
      <c r="Y129" s="659"/>
      <c r="Z129" s="659"/>
      <c r="AA129" s="659"/>
    </row>
    <row r="130" spans="1:27" s="1277" customFormat="1" ht="13.2">
      <c r="A130" s="3416" t="s">
        <v>2741</v>
      </c>
      <c r="B130" s="3417"/>
      <c r="C130" s="3417"/>
      <c r="D130" s="3428">
        <f ca="1">I113</f>
        <v>28925</v>
      </c>
      <c r="E130" s="3429"/>
      <c r="F130" s="3429"/>
      <c r="G130" s="3429"/>
      <c r="H130" s="3429"/>
      <c r="I130" s="3430"/>
      <c r="J130" s="2837"/>
      <c r="K130" s="659"/>
      <c r="L130" s="659"/>
      <c r="M130" s="659"/>
      <c r="N130" s="659"/>
      <c r="O130" s="659"/>
      <c r="P130" s="659"/>
      <c r="Q130" s="659"/>
      <c r="R130" s="659"/>
      <c r="S130" s="659"/>
      <c r="T130" s="659"/>
      <c r="U130" s="659"/>
      <c r="V130" s="659"/>
      <c r="W130" s="659"/>
      <c r="X130" s="659"/>
      <c r="Y130" s="659"/>
      <c r="Z130" s="659"/>
      <c r="AA130" s="659"/>
    </row>
    <row r="131" spans="1:27" s="1277" customFormat="1" ht="13.8" thickBot="1">
      <c r="A131" s="3431" t="str">
        <f>IF(项目基本情况!D5="房地产市场价值","——",MID(A118,3,LEN(A118)-2))</f>
        <v/>
      </c>
      <c r="B131" s="3432"/>
      <c r="C131" s="3432"/>
      <c r="D131" s="3464" t="str">
        <f>I114</f>
        <v>——</v>
      </c>
      <c r="E131" s="3465"/>
      <c r="F131" s="3465"/>
      <c r="G131" s="3465"/>
      <c r="H131" s="3465"/>
      <c r="I131" s="3516"/>
      <c r="J131" s="2829"/>
      <c r="K131" s="659"/>
      <c r="L131" s="659"/>
      <c r="M131" s="659"/>
      <c r="N131" s="659"/>
      <c r="O131" s="659"/>
      <c r="P131" s="659"/>
      <c r="Q131" s="659"/>
      <c r="R131" s="659"/>
      <c r="S131" s="659"/>
      <c r="T131" s="659"/>
      <c r="U131" s="659"/>
      <c r="V131" s="659"/>
      <c r="W131" s="659"/>
      <c r="X131" s="659"/>
      <c r="Y131" s="659"/>
      <c r="Z131" s="659"/>
      <c r="AA131" s="659"/>
    </row>
    <row r="132" spans="1:27" s="1277" customFormat="1" ht="14.4" thickTop="1" thickBot="1">
      <c r="A132" s="3416" t="s">
        <v>2741</v>
      </c>
      <c r="B132" s="3417"/>
      <c r="C132" s="3418"/>
      <c r="D132" s="3480" t="str">
        <f>I115</f>
        <v>——</v>
      </c>
      <c r="E132" s="3480"/>
      <c r="F132" s="3480"/>
      <c r="G132" s="3480"/>
      <c r="H132" s="3480"/>
      <c r="I132" s="3480"/>
      <c r="J132" s="2837"/>
      <c r="K132" s="659"/>
      <c r="L132" s="659"/>
      <c r="M132" s="659"/>
      <c r="N132" s="659"/>
      <c r="O132" s="659"/>
      <c r="P132" s="659"/>
      <c r="Q132" s="659"/>
      <c r="R132" s="659"/>
      <c r="S132" s="659"/>
      <c r="T132" s="659"/>
      <c r="U132" s="659"/>
      <c r="V132" s="659"/>
      <c r="W132" s="659"/>
      <c r="X132" s="659"/>
      <c r="Y132" s="659"/>
      <c r="Z132" s="659"/>
      <c r="AA132" s="659"/>
    </row>
    <row r="133" spans="1:27" s="1277" customFormat="1" ht="14.4" thickTop="1" thickBot="1">
      <c r="A133" s="3431" t="str">
        <f>IF(项目基本情况!D5="房地产市场价值","——",MID(F116,3,LEN(F116)-2))</f>
        <v/>
      </c>
      <c r="B133" s="3432"/>
      <c r="C133" s="3419"/>
      <c r="D133" s="3435" t="str">
        <f>I116</f>
        <v>——</v>
      </c>
      <c r="E133" s="3435"/>
      <c r="F133" s="3435"/>
      <c r="G133" s="3435"/>
      <c r="H133" s="3435"/>
      <c r="I133" s="3435"/>
      <c r="J133" s="2829"/>
      <c r="K133" s="659"/>
      <c r="L133" s="659"/>
      <c r="M133" s="659"/>
      <c r="N133" s="659"/>
      <c r="O133" s="659"/>
      <c r="P133" s="659"/>
      <c r="Q133" s="659"/>
      <c r="R133" s="659"/>
      <c r="S133" s="659"/>
      <c r="T133" s="659"/>
      <c r="U133" s="659"/>
      <c r="V133" s="659"/>
      <c r="W133" s="659"/>
      <c r="X133" s="659"/>
      <c r="Y133" s="659"/>
      <c r="Z133" s="659"/>
      <c r="AA133" s="659"/>
    </row>
    <row r="134" spans="1:27" s="1277" customFormat="1" ht="14.4" thickTop="1" thickBot="1">
      <c r="A134" s="3440" t="s">
        <v>2741</v>
      </c>
      <c r="B134" s="3441"/>
      <c r="C134" s="3441"/>
      <c r="D134" s="3446">
        <f>H118</f>
        <v>0</v>
      </c>
      <c r="E134" s="3447"/>
      <c r="F134" s="3447"/>
      <c r="G134" s="3447"/>
      <c r="H134" s="3447"/>
      <c r="I134" s="3448"/>
      <c r="J134" s="2837"/>
      <c r="K134" s="659"/>
      <c r="L134" s="659"/>
      <c r="M134" s="659"/>
      <c r="N134" s="659"/>
      <c r="O134" s="659"/>
      <c r="P134" s="659"/>
      <c r="Q134" s="659"/>
      <c r="R134" s="659"/>
      <c r="S134" s="659"/>
      <c r="T134" s="659"/>
      <c r="U134" s="659"/>
      <c r="V134" s="659"/>
      <c r="W134" s="659"/>
      <c r="X134" s="659"/>
      <c r="Y134" s="659"/>
      <c r="Z134" s="659"/>
      <c r="AA134" s="659"/>
    </row>
    <row r="135" spans="1:27" s="1277" customFormat="1" ht="13.2">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9"/>
      <c r="L135" s="659"/>
      <c r="M135" s="659"/>
      <c r="N135" s="659"/>
      <c r="O135" s="659"/>
      <c r="P135" s="659"/>
      <c r="Q135" s="659"/>
      <c r="R135" s="659"/>
      <c r="S135" s="659"/>
      <c r="T135" s="659"/>
      <c r="U135" s="659"/>
      <c r="V135" s="659"/>
      <c r="W135" s="659"/>
      <c r="X135" s="659"/>
      <c r="Y135" s="659"/>
      <c r="Z135" s="659"/>
      <c r="AA135" s="659"/>
    </row>
    <row r="136" spans="1:27" s="1277" customFormat="1" ht="13.8"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831"/>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39"/>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39"/>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39"/>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39"/>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0"/>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1"/>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1"/>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1"/>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7"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1856</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2998</v>
      </c>
    </row>
    <row r="9" spans="1:123" s="91" customFormat="1" ht="13.5" customHeight="1">
      <c r="A9" s="993" t="s">
        <v>945</v>
      </c>
      <c r="B9" s="97" t="s">
        <v>1872</v>
      </c>
      <c r="C9" s="1141">
        <f>ROUND(D9*E9,0)</f>
        <v>0</v>
      </c>
      <c r="D9" s="1142">
        <f>IF('数据-取费表'!B10="住宅",IF(B1="仅计算典型户型",'数据-取费表'!E5,'数据-取费表'!B5),0)</f>
        <v>393.43</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0</v>
      </c>
      <c r="D10" s="1142">
        <f>IF('数据-取费表'!B10&lt;&gt;"住宅",IF(B1="仅计算典型户型",'数据-取费表'!E5,'数据-取费表'!B5),0)</f>
        <v>0</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2999</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6.2">
      <c r="A32" s="117" t="s">
        <v>1913</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1586506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68850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31730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70393</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69013</v>
      </c>
      <c r="D42" s="104"/>
      <c r="E42" s="104"/>
      <c r="F42" s="105"/>
      <c r="G42" s="3553" t="s">
        <v>1928</v>
      </c>
    </row>
    <row r="43" spans="1:123" ht="13.5" customHeight="1">
      <c r="A43" s="92" t="s">
        <v>1868</v>
      </c>
      <c r="B43" s="93" t="s">
        <v>1897</v>
      </c>
      <c r="C43" s="104">
        <f ca="1">ROUND(IF('数据-取费表'!B24&lt;=1,C39*F22*'数据-取费表'!B23/2,C39*(POWER((1+F22),'数据-取费表'!B23/2)-1)),0)</f>
        <v>1380</v>
      </c>
      <c r="D43" s="104"/>
      <c r="E43" s="104"/>
      <c r="F43" s="105"/>
      <c r="G43" s="3554"/>
    </row>
    <row r="44" spans="1:123" ht="13.5" customHeight="1">
      <c r="A44" s="92" t="s">
        <v>1870</v>
      </c>
      <c r="B44" s="93" t="s">
        <v>1899</v>
      </c>
      <c r="C44" s="104">
        <f ca="1">ROUND(IF('数据-取费表'!B24&lt;=1,C40*F22*'数据-取费表'!B23/2,C40*(POWER((1+F22),'数据-取费表'!B23/2)-1)),4)</f>
        <v>8.9999999999999998E-4</v>
      </c>
      <c r="D44" s="104"/>
      <c r="E44" s="104"/>
      <c r="F44" s="105"/>
      <c r="G44" s="3555"/>
    </row>
    <row r="45" spans="1:123" s="91" customFormat="1" ht="13.5" customHeight="1">
      <c r="A45" s="120" t="s">
        <v>1892</v>
      </c>
      <c r="B45" s="110" t="s">
        <v>1904</v>
      </c>
      <c r="C45" s="111">
        <f>C46</f>
        <v>242735</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242735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2092939</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1548775</v>
      </c>
      <c r="D51" s="99"/>
      <c r="E51" s="99"/>
      <c r="F51" s="126"/>
      <c r="G51" s="100" t="s">
        <v>1942</v>
      </c>
    </row>
    <row r="52" spans="1:123" s="88" customFormat="1" ht="16.8" thickBot="1">
      <c r="A52" s="127" t="s">
        <v>1943</v>
      </c>
      <c r="B52" s="128"/>
      <c r="C52" s="129" t="e">
        <f ca="1">C31+C51</f>
        <v>#DIV/0!</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1229</v>
      </c>
      <c r="B1" s="138"/>
      <c r="C1" s="1002" t="s">
        <v>1230</v>
      </c>
      <c r="D1" s="1094"/>
      <c r="E1" s="924"/>
      <c r="F1" s="924"/>
      <c r="G1" s="924"/>
      <c r="H1" s="924"/>
      <c r="I1" s="924"/>
      <c r="J1" s="924"/>
      <c r="K1" s="924"/>
    </row>
    <row r="2" spans="1:33" s="139" customFormat="1" ht="18" customHeight="1">
      <c r="A2" s="81" t="s">
        <v>1231</v>
      </c>
      <c r="B2" s="84">
        <f ca="1">IF(C2="元",C32,ROUND(C32/10000,0))</f>
        <v>301</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23971</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21964</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487544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125.51</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487544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9751</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78021</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78021</v>
      </c>
      <c r="D30" s="193"/>
      <c r="E30" s="206"/>
      <c r="F30" s="203"/>
      <c r="G30" s="147"/>
      <c r="H30" s="170"/>
      <c r="I30" s="170"/>
      <c r="J30" s="170"/>
      <c r="K30" s="171"/>
    </row>
    <row r="31" spans="1:33" s="182" customFormat="1" ht="13.5" customHeight="1" thickBot="1">
      <c r="A31" s="1372" t="s">
        <v>1290</v>
      </c>
      <c r="B31" s="177" t="s">
        <v>1291</v>
      </c>
      <c r="C31" s="207">
        <f>ROUND(C4*F31/(1+'数据-取费表'!F30),0)</f>
        <v>234285</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3008624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3.2"/>
  <cols>
    <col min="1" max="1" width="9.77734375" style="1593" customWidth="1"/>
    <col min="2" max="2" width="19.21875" style="1593" customWidth="1"/>
    <col min="3" max="3" width="12.44140625" style="1593" customWidth="1"/>
    <col min="4" max="4" width="12" style="1593" customWidth="1"/>
    <col min="5" max="5" width="14.6640625" style="1593" customWidth="1"/>
    <col min="6" max="8" width="12" style="1593" customWidth="1"/>
    <col min="9" max="9" width="12.21875" style="1593" bestFit="1" customWidth="1"/>
    <col min="10" max="10" width="12" style="1593" customWidth="1"/>
    <col min="11" max="11" width="9.44140625" style="1592" customWidth="1"/>
    <col min="12" max="12" width="12" style="1593" customWidth="1"/>
    <col min="13" max="13" width="8.44140625" style="1593" customWidth="1"/>
    <col min="14" max="14" width="9.77734375" style="1593" customWidth="1"/>
    <col min="15" max="25" width="12" style="1593" customWidth="1"/>
    <col min="26" max="26" width="9.33203125" style="1593" customWidth="1"/>
    <col min="27" max="32" width="9.33203125" style="2234" customWidth="1"/>
    <col min="33" max="38" width="9.33203125" style="1593" customWidth="1"/>
    <col min="39" max="16384" width="9" style="1593"/>
  </cols>
  <sheetData>
    <row r="1" spans="1:36" ht="31.2">
      <c r="A1" s="2066" t="s">
        <v>2439</v>
      </c>
      <c r="B1" s="2067"/>
      <c r="C1" s="2068" t="s">
        <v>2440</v>
      </c>
      <c r="D1" s="2069">
        <f>SUM(D29:D30,D33:D39)</f>
        <v>393.43</v>
      </c>
      <c r="E1" s="2069"/>
      <c r="F1" s="2069"/>
      <c r="G1" s="2069"/>
      <c r="H1" s="2069"/>
      <c r="I1" s="2069"/>
      <c r="J1" s="2069"/>
      <c r="K1" s="3017"/>
      <c r="L1" s="2070" t="s">
        <v>2441</v>
      </c>
      <c r="M1" s="2071">
        <f>SUMPRODUCT((区片价!B5:B9=I2)*(区片价!C3:F3=E2)*(区片价!C5:F9))</f>
        <v>0</v>
      </c>
      <c r="N1" s="2072">
        <f>SUMPRODUCT((因素修正幅度!B5:B9=I2)*(因素修正幅度!C3:F3=E2)*(因素修正幅度!C5:F9))</f>
        <v>0</v>
      </c>
      <c r="O1" s="3017"/>
      <c r="P1" s="3017"/>
      <c r="Q1" s="3017"/>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5.2">
      <c r="A2" s="1930" t="s">
        <v>2447</v>
      </c>
      <c r="B2" s="1628" t="e">
        <f>C26</f>
        <v>#DIV/0!</v>
      </c>
      <c r="C2" s="2077" t="s">
        <v>2448</v>
      </c>
      <c r="D2" s="1571" t="s">
        <v>2449</v>
      </c>
      <c r="E2" s="2078" t="s">
        <v>2987</v>
      </c>
      <c r="F2" s="1571" t="s">
        <v>2450</v>
      </c>
      <c r="G2" s="2079">
        <f>项目基本情况!F9</f>
        <v>0</v>
      </c>
      <c r="H2" s="1572" t="s">
        <v>2451</v>
      </c>
      <c r="I2" s="2079">
        <f>项目基本情况!F10</f>
        <v>0</v>
      </c>
      <c r="J2" s="2080"/>
      <c r="K2" s="3017"/>
      <c r="L2" s="2081" t="s">
        <v>2452</v>
      </c>
      <c r="M2" s="2082">
        <f>SUMPRODUCT((区片价!B10:B28=I2)*(区片价!C3:F3=E2)*(区片价!C10:F28))</f>
        <v>0</v>
      </c>
      <c r="N2" s="2083">
        <f>SUMPRODUCT((因素修正幅度!B10:B28=I2)*(因素修正幅度!C3:F3=E2)*(因素修正幅度!C10:F28))</f>
        <v>0</v>
      </c>
      <c r="O2" s="3017"/>
      <c r="P2" s="3017"/>
      <c r="Q2" s="3017"/>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6">
      <c r="A3" s="1628" t="s">
        <v>2453</v>
      </c>
      <c r="B3" s="1628" t="e">
        <f>ROUND(B2/D1,0)</f>
        <v>#DIV/0!</v>
      </c>
      <c r="C3" s="2077" t="s">
        <v>2454</v>
      </c>
      <c r="D3" s="1571" t="s">
        <v>2455</v>
      </c>
      <c r="E3" s="2078" t="s">
        <v>2990</v>
      </c>
      <c r="F3" s="1573" t="s">
        <v>2456</v>
      </c>
      <c r="G3" s="2085">
        <f>项目基本情况!C15</f>
        <v>0</v>
      </c>
      <c r="H3" s="50" t="s">
        <v>2457</v>
      </c>
      <c r="I3" s="2086"/>
      <c r="J3" s="2080" t="s">
        <v>2458</v>
      </c>
      <c r="K3" s="3017"/>
      <c r="L3" s="2081" t="s">
        <v>2459</v>
      </c>
      <c r="M3" s="2082">
        <f>SUMPRODUCT((区片价!B29:B48=I2)*(区片价!C3:F3=E2)*(区片价!C29:F48))</f>
        <v>0</v>
      </c>
      <c r="N3" s="2083">
        <f>SUMPRODUCT((因素修正幅度!B29:B48=I2)*(因素修正幅度!C3:F3=E2)*(因素修正幅度!C29:F48))</f>
        <v>0</v>
      </c>
      <c r="O3" s="3017"/>
      <c r="P3" s="3017"/>
      <c r="Q3" s="3017"/>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6">
      <c r="A4" s="3558"/>
      <c r="B4" s="3559"/>
      <c r="C4" s="3559"/>
      <c r="D4" s="3560"/>
      <c r="E4" s="3560"/>
      <c r="F4" s="3560"/>
      <c r="G4" s="3560"/>
      <c r="H4" s="3560"/>
      <c r="I4" s="3560"/>
      <c r="J4" s="3561"/>
      <c r="K4" s="3017"/>
      <c r="L4" s="2081" t="s">
        <v>2460</v>
      </c>
      <c r="M4" s="2082">
        <f>SUMPRODUCT((区片价!B49:B75=I2)*(区片价!C3:F3=E2)*(区片价!C49:F75))</f>
        <v>0</v>
      </c>
      <c r="N4" s="2083">
        <f>SUMPRODUCT((因素修正幅度!B49:B75=I2)*(因素修正幅度!C3:F3=E2)*(因素修正幅度!C49:F75))</f>
        <v>0</v>
      </c>
      <c r="O4" s="3017"/>
      <c r="P4" s="3017"/>
      <c r="Q4" s="3017"/>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6"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7"/>
      <c r="P5" s="3017"/>
      <c r="Q5" s="3017"/>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6" thickBot="1">
      <c r="A6" s="2095">
        <v>1</v>
      </c>
      <c r="B6" s="1575" t="s">
        <v>2464</v>
      </c>
      <c r="C6" s="2096">
        <f>SUMIF(L1:L12,G2,M1:M12)</f>
        <v>0</v>
      </c>
      <c r="D6" s="2097" t="s">
        <v>2465</v>
      </c>
      <c r="E6" s="1575"/>
      <c r="F6" s="1575"/>
      <c r="G6" s="2098"/>
      <c r="H6" s="2098"/>
      <c r="I6" s="2098"/>
      <c r="J6" s="2099"/>
      <c r="K6" s="3018"/>
      <c r="L6" s="2081" t="s">
        <v>2466</v>
      </c>
      <c r="M6" s="2082">
        <f>SUMPRODUCT((区片价!B110:B157=I2)*(区片价!C3:F3=E2)*(区片价!C110:F157))</f>
        <v>0</v>
      </c>
      <c r="N6" s="2083">
        <f>SUMPRODUCT((因素修正幅度!B110:B157=I2)*(因素修正幅度!C3:F3=E2)*(因素修正幅度!C110:F157))</f>
        <v>0</v>
      </c>
      <c r="O6" s="3017"/>
      <c r="P6" s="3017"/>
      <c r="Q6" s="3017"/>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62" t="str">
        <f>IF(E2="商业",IF(C8="不临58条商业街","",2),"")</f>
        <v/>
      </c>
      <c r="B7" s="1576" t="s">
        <v>2467</v>
      </c>
      <c r="C7" s="2100" t="e">
        <f>IF(C8="不临58条商业街",1,ROUND(1+(1.6*E8+1.2*E9+0.8*E10+0.4*E11)*C9,4))</f>
        <v>#DIV/0!</v>
      </c>
      <c r="D7" s="2101" t="s">
        <v>2468</v>
      </c>
      <c r="E7" s="2102"/>
      <c r="F7" s="2103"/>
      <c r="G7" s="2103"/>
      <c r="H7" s="2103"/>
      <c r="I7" s="2103"/>
      <c r="J7" s="2104"/>
      <c r="K7" s="3018"/>
      <c r="L7" s="2081" t="s">
        <v>2469</v>
      </c>
      <c r="M7" s="2082">
        <f>SUMPRODUCT((区片价!B158:B205=I2)*(区片价!C3:F3=E2)*(区片价!C158:F205))</f>
        <v>0</v>
      </c>
      <c r="N7" s="2083">
        <f>SUMPRODUCT((因素修正幅度!B158:B205=I2)*(因素修正幅度!C3:F3=E2)*(因素修正幅度!C158:F205))</f>
        <v>0</v>
      </c>
      <c r="O7" s="3017"/>
      <c r="P7" s="3017"/>
      <c r="Q7" s="3017"/>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63"/>
      <c r="B8" s="50" t="s">
        <v>2472</v>
      </c>
      <c r="C8" s="2108"/>
      <c r="D8" s="65" t="s">
        <v>89</v>
      </c>
      <c r="E8" s="2109" t="e">
        <f>ROUND(C11/E7,4)</f>
        <v>#DIV/0!</v>
      </c>
      <c r="F8" s="2110" t="s">
        <v>2473</v>
      </c>
      <c r="G8" s="2111"/>
      <c r="H8" s="2111"/>
      <c r="I8" s="2111"/>
      <c r="J8" s="2112"/>
      <c r="K8" s="3017"/>
      <c r="L8" s="2081" t="s">
        <v>2474</v>
      </c>
      <c r="M8" s="2082">
        <f>SUMPRODUCT((区片价!B206:B244=I2)*(区片价!C3:F3=E2)*(区片价!C206:F244))</f>
        <v>0</v>
      </c>
      <c r="N8" s="2083">
        <f>SUMPRODUCT((因素修正幅度!B206:B244=I2)*(因素修正幅度!C3:F3=E2)*(因素修正幅度!C206:F244))</f>
        <v>0</v>
      </c>
      <c r="O8" s="3017"/>
      <c r="P8" s="3017"/>
      <c r="Q8" s="3017"/>
      <c r="R8" s="2073">
        <v>7</v>
      </c>
      <c r="S8" s="2084"/>
      <c r="T8" s="2073" t="e">
        <f t="shared" si="0"/>
        <v>#DIV/0!</v>
      </c>
      <c r="U8" s="2084"/>
      <c r="V8" s="2073" t="e">
        <f t="shared" si="1"/>
        <v>#DIV/0!</v>
      </c>
      <c r="W8" s="3556" t="s">
        <v>2475</v>
      </c>
      <c r="X8" s="3557"/>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63"/>
      <c r="B9" s="50" t="s">
        <v>2488</v>
      </c>
      <c r="C9" s="2114">
        <f>SUMIF(修正!C59:C119,C8,修正!E59:E119)</f>
        <v>0</v>
      </c>
      <c r="D9" s="50" t="s">
        <v>90</v>
      </c>
      <c r="E9" s="50" t="e">
        <f>ROUND(C11/E7,4)</f>
        <v>#DIV/0!</v>
      </c>
      <c r="F9" s="2110" t="s">
        <v>2489</v>
      </c>
      <c r="G9" s="2111"/>
      <c r="H9" s="2111"/>
      <c r="I9" s="2111"/>
      <c r="J9" s="2112"/>
      <c r="K9" s="3017"/>
      <c r="L9" s="2081" t="s">
        <v>2490</v>
      </c>
      <c r="M9" s="2082">
        <f>SUMPRODUCT((区片价!B245:B289=I2)*(区片价!C3:F3=E2)*(区片价!C245:F289))</f>
        <v>0</v>
      </c>
      <c r="N9" s="2083">
        <f>SUMPRODUCT((因素修正幅度!B245:B289=I2)*(因素修正幅度!C3:F3=E2)*(因素修正幅度!C245:F289))</f>
        <v>0</v>
      </c>
      <c r="O9" s="3017"/>
      <c r="P9" s="3017"/>
      <c r="Q9" s="3017"/>
      <c r="R9" s="2073">
        <v>8</v>
      </c>
      <c r="S9" s="2084"/>
      <c r="T9" s="2073" t="e">
        <f t="shared" si="0"/>
        <v>#DIV/0!</v>
      </c>
      <c r="U9" s="2084"/>
      <c r="V9" s="2073" t="e">
        <f t="shared" si="1"/>
        <v>#DIV/0!</v>
      </c>
      <c r="W9" s="3557"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63"/>
      <c r="B10" s="50" t="s">
        <v>2493</v>
      </c>
      <c r="C10" s="50">
        <f>SUMIF(修正!C59:C119,C8,修正!F59:F119)</f>
        <v>0</v>
      </c>
      <c r="D10" s="50" t="s">
        <v>91</v>
      </c>
      <c r="E10" s="50" t="e">
        <f>ROUND(C11/E7,4)</f>
        <v>#DIV/0!</v>
      </c>
      <c r="F10" s="2110" t="s">
        <v>2494</v>
      </c>
      <c r="G10" s="2111"/>
      <c r="H10" s="2111"/>
      <c r="I10" s="2111"/>
      <c r="J10" s="2112"/>
      <c r="K10" s="3017"/>
      <c r="L10" s="2081" t="s">
        <v>2495</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t="e">
        <f t="shared" si="0"/>
        <v>#DIV/0!</v>
      </c>
      <c r="U10" s="2084"/>
      <c r="V10" s="2073" t="e">
        <f t="shared" si="1"/>
        <v>#DIV/0!</v>
      </c>
      <c r="W10" s="3557"/>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6" thickBot="1">
      <c r="A11" s="3563"/>
      <c r="B11" s="1577" t="s">
        <v>2496</v>
      </c>
      <c r="C11" s="1577">
        <f>C10/4</f>
        <v>0</v>
      </c>
      <c r="D11" s="1577" t="s">
        <v>92</v>
      </c>
      <c r="E11" s="1577" t="e">
        <f>ROUND(C11/E7,4)</f>
        <v>#DIV/0!</v>
      </c>
      <c r="F11" s="2119" t="s">
        <v>2497</v>
      </c>
      <c r="G11" s="2120"/>
      <c r="H11" s="2120"/>
      <c r="I11" s="2120"/>
      <c r="J11" s="2121"/>
      <c r="K11" s="3017"/>
      <c r="L11" s="2081" t="s">
        <v>2498</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t="e">
        <f t="shared" si="0"/>
        <v>#DIV/0!</v>
      </c>
      <c r="U11" s="2084"/>
      <c r="V11" s="2073" t="e">
        <f t="shared" si="1"/>
        <v>#DIV/0!</v>
      </c>
      <c r="W11" s="3557"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8" thickBot="1">
      <c r="A12" s="3562" t="str">
        <f>IF(E2="住宅",2,"")</f>
        <v/>
      </c>
      <c r="B12" s="1578" t="s">
        <v>2501</v>
      </c>
      <c r="C12" s="2100">
        <f>ROUND(C15*D15*E15*F15*G15*H15*I15*J15,4)</f>
        <v>1.32</v>
      </c>
      <c r="D12" s="2124" t="s">
        <v>2502</v>
      </c>
      <c r="E12" s="2125"/>
      <c r="F12" s="2125"/>
      <c r="G12" s="2125"/>
      <c r="H12" s="2125"/>
      <c r="I12" s="2125"/>
      <c r="J12" s="2126"/>
      <c r="K12" s="3017"/>
      <c r="L12" s="2127" t="s">
        <v>2503</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t="e">
        <f t="shared" si="0"/>
        <v>#DIV/0!</v>
      </c>
      <c r="U12" s="2084"/>
      <c r="V12" s="2073" t="e">
        <f t="shared" si="1"/>
        <v>#DIV/0!</v>
      </c>
      <c r="W12" s="3557"/>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64"/>
      <c r="B13" s="1579" t="s">
        <v>2505</v>
      </c>
      <c r="C13" s="2131" t="s">
        <v>2506</v>
      </c>
      <c r="D13" s="1580" t="s">
        <v>2507</v>
      </c>
      <c r="E13" s="1580" t="s">
        <v>2508</v>
      </c>
      <c r="F13" s="264" t="s">
        <v>2509</v>
      </c>
      <c r="G13" s="2132" t="s">
        <v>2510</v>
      </c>
      <c r="H13" s="2132" t="s">
        <v>2510</v>
      </c>
      <c r="I13" s="2132" t="s">
        <v>2510</v>
      </c>
      <c r="J13" s="2133" t="s">
        <v>2510</v>
      </c>
      <c r="K13" s="3017"/>
      <c r="L13" s="3017"/>
      <c r="M13" s="3017"/>
      <c r="N13" s="3017"/>
      <c r="O13" s="3017"/>
      <c r="P13" s="3017"/>
      <c r="Q13" s="3017"/>
      <c r="R13" s="2073">
        <v>12</v>
      </c>
      <c r="S13" s="2084"/>
      <c r="T13" s="2073" t="e">
        <f t="shared" si="0"/>
        <v>#DIV/0!</v>
      </c>
      <c r="U13" s="2084"/>
      <c r="V13" s="2073" t="e">
        <f t="shared" si="1"/>
        <v>#DIV/0!</v>
      </c>
      <c r="W13" s="3557"/>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64"/>
      <c r="B14" s="1580"/>
      <c r="C14" s="2134" t="s">
        <v>2511</v>
      </c>
      <c r="D14" s="2135" t="s">
        <v>2512</v>
      </c>
      <c r="E14" s="2135" t="s">
        <v>2512</v>
      </c>
      <c r="F14" s="2136" t="s">
        <v>2513</v>
      </c>
      <c r="G14" s="2137" t="s">
        <v>2514</v>
      </c>
      <c r="H14" s="2138"/>
      <c r="I14" s="2139"/>
      <c r="J14" s="2140"/>
      <c r="K14" s="3017"/>
      <c r="L14" s="3017"/>
      <c r="M14" s="3017"/>
      <c r="N14" s="3017"/>
      <c r="O14" s="3017"/>
      <c r="P14" s="3017"/>
      <c r="Q14" s="3017"/>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6" thickBot="1">
      <c r="A15" s="3565"/>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7"/>
      <c r="L15" s="3017"/>
      <c r="M15" s="3017"/>
      <c r="N15" s="3017"/>
      <c r="O15" s="3017"/>
      <c r="P15" s="3017"/>
      <c r="Q15" s="3017"/>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66">
        <f>IF(E2="办公",2,IF(E2="工业",2,IF(E2="住宅",3,IF(E2="商业",IF(C8="不临58条商业街",2,3)))))</f>
        <v>2</v>
      </c>
      <c r="B16" s="1600" t="s">
        <v>2521</v>
      </c>
      <c r="C16" s="1576" t="e">
        <f>ROUND(IF(F17="与级别开发程度一致",0,(G17-E17)/C17),0)</f>
        <v>#DIV/0!</v>
      </c>
      <c r="D16" s="3579" t="s">
        <v>2525</v>
      </c>
      <c r="E16" s="3580"/>
      <c r="F16" s="3579" t="s">
        <v>2522</v>
      </c>
      <c r="G16" s="3580"/>
      <c r="H16" s="2144" t="s">
        <v>2991</v>
      </c>
      <c r="I16" s="2144" t="s">
        <v>2992</v>
      </c>
      <c r="J16" s="2145" t="s">
        <v>2993</v>
      </c>
      <c r="K16" s="2144" t="s">
        <v>2994</v>
      </c>
      <c r="L16" s="2144" t="s">
        <v>2995</v>
      </c>
      <c r="M16" s="2144" t="s">
        <v>2996</v>
      </c>
      <c r="N16" s="2144"/>
      <c r="O16" s="2146"/>
      <c r="P16" s="3017"/>
      <c r="Q16" s="3017"/>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7" thickBot="1">
      <c r="A17" s="3567"/>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2997</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7"/>
      <c r="Q17" s="3017"/>
      <c r="R17" s="1592"/>
      <c r="S17" s="1592"/>
      <c r="T17" s="1592"/>
      <c r="U17" s="1592"/>
      <c r="V17" s="1592"/>
      <c r="W17" s="1592"/>
      <c r="X17" s="1592"/>
      <c r="Y17" s="1592"/>
      <c r="Z17" s="1592"/>
      <c r="AA17" s="1592"/>
      <c r="AB17" s="1592"/>
      <c r="AC17" s="1592"/>
      <c r="AD17" s="1592"/>
      <c r="AE17" s="1592"/>
      <c r="AF17" s="1592"/>
    </row>
    <row r="18" spans="1:35" s="2094" customFormat="1" ht="15" thickBot="1">
      <c r="A18" s="2152" t="s">
        <v>2527</v>
      </c>
      <c r="B18" s="1599" t="s">
        <v>2528</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4"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2667</v>
      </c>
      <c r="I19" s="2163" t="str">
        <f>IF(H19="季度增幅（自定义）",SUMIF(N21:N24,E2,O21:O24),"")</f>
        <v/>
      </c>
      <c r="J19" s="2164"/>
      <c r="K19" s="3019"/>
      <c r="L19" s="2045" t="s">
        <v>2533</v>
      </c>
      <c r="M19" s="2165">
        <f>ROUND(SUMIF(地价!B2:F2,E2,地价!B36:F36),0)</f>
        <v>230</v>
      </c>
      <c r="N19" s="2166" t="s">
        <v>2534</v>
      </c>
      <c r="O19" s="2167">
        <f>ROUNDDOWN(DATEDIF(E19,G19,"M")/3,0)</f>
        <v>31</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9.4" thickBot="1">
      <c r="A20" s="1687" t="s">
        <v>2535</v>
      </c>
      <c r="B20" s="1583" t="s">
        <v>2536</v>
      </c>
      <c r="C20" s="2170">
        <f>ROUND(POWER(1+G20,J20-I20)*(POWER(1+G20,I20)-1)/(POWER(1+G20,J20)-1),4)</f>
        <v>0.9617</v>
      </c>
      <c r="D20" s="2171" t="s">
        <v>2537</v>
      </c>
      <c r="E20" s="3122">
        <f>存贷款利率!E18/100</f>
        <v>4.3499999999999997E-2</v>
      </c>
      <c r="F20" s="2171" t="s">
        <v>2526</v>
      </c>
      <c r="G20" s="3123">
        <f>SUMIF(M26:P26,E2,M28:P28)</f>
        <v>4.8000000000000001E-2</v>
      </c>
      <c r="H20" s="2171" t="s">
        <v>2538</v>
      </c>
      <c r="I20" s="2172">
        <f>'数据-取费表'!B13</f>
        <v>43.42</v>
      </c>
      <c r="J20" s="2173">
        <f>IF(E2="住宅",70,IF(E2="商业",40,50))</f>
        <v>50</v>
      </c>
      <c r="K20" s="3019"/>
      <c r="L20" s="2174" t="s">
        <v>2539</v>
      </c>
      <c r="M20" s="2175">
        <f>ROUND(SUMPRODUCT((地价!A4:A36=YEAR(G19)&amp;"-"&amp;ROUNDUP(MONTH(G19)/3,0))*(地价!B2:F2=E2)*(地价!B4:F36)),0)</f>
        <v>334</v>
      </c>
      <c r="N20" s="2176" t="s">
        <v>2540</v>
      </c>
      <c r="O20" s="2177" t="s">
        <v>2541</v>
      </c>
      <c r="P20" s="2178" t="s">
        <v>2542</v>
      </c>
      <c r="Q20" s="3019"/>
      <c r="R20" s="3017"/>
      <c r="S20" s="3017"/>
      <c r="T20" s="3017"/>
      <c r="U20" s="3017"/>
      <c r="V20" s="3017"/>
      <c r="W20" s="3017"/>
      <c r="X20" s="1592"/>
      <c r="Y20" s="1592"/>
      <c r="Z20" s="1592"/>
      <c r="AA20" s="1592"/>
      <c r="AB20" s="1592"/>
      <c r="AC20" s="1592"/>
      <c r="AD20" s="1592"/>
      <c r="AE20" s="2157"/>
      <c r="AF20" s="2157"/>
    </row>
    <row r="21" spans="1:35" s="2094" customFormat="1" ht="14.4">
      <c r="A21" s="2179" t="s">
        <v>2543</v>
      </c>
      <c r="B21" s="1584" t="s">
        <v>2544</v>
      </c>
      <c r="C21" s="2180">
        <f>IF(B21="容积率修正",IF(G3&lt;=10,D22,J22),C23)</f>
        <v>0</v>
      </c>
      <c r="D21" s="2181"/>
      <c r="E21" s="2181"/>
      <c r="F21" s="2181"/>
      <c r="G21" s="2181"/>
      <c r="H21" s="2181"/>
      <c r="I21" s="2181"/>
      <c r="J21" s="2046"/>
      <c r="K21" s="3019"/>
      <c r="L21" s="3019"/>
      <c r="M21" s="3019"/>
      <c r="N21" s="2182" t="s">
        <v>2545</v>
      </c>
      <c r="O21" s="2183"/>
      <c r="P21" s="2184">
        <f>SUMPRODUCT((地价!A3:A36=YEAR(G19)&amp;"-"&amp;ROUNDUP(MONTH(G19)/3,0))*(地价!AD2:AH2=N21)*(地价!AD3:AH36))</f>
        <v>1.0500000000000001E-2</v>
      </c>
      <c r="Q21" s="3019"/>
      <c r="R21" s="3017"/>
      <c r="S21" s="3017"/>
      <c r="T21" s="3017"/>
      <c r="U21" s="3017"/>
      <c r="V21" s="3017"/>
      <c r="W21" s="3017"/>
      <c r="X21" s="1592"/>
      <c r="Y21" s="1592"/>
      <c r="Z21" s="1592"/>
      <c r="AA21" s="1592"/>
      <c r="AB21" s="1592"/>
      <c r="AC21" s="1592"/>
      <c r="AD21" s="1592"/>
      <c r="AE21" s="2157"/>
      <c r="AF21" s="2157"/>
    </row>
    <row r="22" spans="1:35" s="2094" customFormat="1" ht="14.4">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9"/>
      <c r="L22" s="3019"/>
      <c r="M22" s="3019"/>
      <c r="N22" s="2182" t="s">
        <v>2548</v>
      </c>
      <c r="O22" s="2183"/>
      <c r="P22" s="2184">
        <f>SUMPRODUCT((地价!A3:A36=YEAR(G19)&amp;"-"&amp;ROUNDUP(MONTH(G19)/3,0))*(地价!AD2:AH2=N22)*(地价!AD3:AH36))</f>
        <v>1.0500000000000001E-2</v>
      </c>
      <c r="Q22" s="3019"/>
      <c r="R22" s="3017"/>
      <c r="S22" s="3017"/>
      <c r="T22" s="3017"/>
      <c r="U22" s="3017"/>
      <c r="V22" s="3017"/>
      <c r="W22" s="3017"/>
      <c r="X22" s="1592"/>
      <c r="Y22" s="1592"/>
      <c r="Z22" s="1592"/>
      <c r="AA22" s="1592"/>
      <c r="AB22" s="1592"/>
      <c r="AC22" s="1592"/>
      <c r="AD22" s="1592"/>
      <c r="AE22" s="2157"/>
      <c r="AF22" s="2157"/>
    </row>
    <row r="23" spans="1:35" ht="28.8">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7"/>
      <c r="L23" s="3017"/>
      <c r="M23" s="3017"/>
      <c r="N23" s="2182" t="s">
        <v>2550</v>
      </c>
      <c r="O23" s="2183"/>
      <c r="P23" s="2184">
        <f>SUMPRODUCT((地价!A3:A36=YEAR(G19)&amp;"-"&amp;ROUNDUP(MONTH(G19)/3,0))*(地价!AD2:AH2=N23)*(地价!AD3:AH36))</f>
        <v>1.83E-2</v>
      </c>
      <c r="Q23" s="3017"/>
      <c r="R23" s="3017"/>
      <c r="S23" s="3017"/>
      <c r="T23" s="3017"/>
      <c r="U23" s="3017"/>
      <c r="V23" s="3017"/>
      <c r="W23" s="3017"/>
      <c r="X23" s="1592"/>
      <c r="Y23" s="1592"/>
      <c r="Z23" s="1592"/>
      <c r="AA23" s="1592"/>
      <c r="AB23" s="1592"/>
      <c r="AC23" s="1592"/>
      <c r="AD23" s="1592"/>
      <c r="AE23" s="1592"/>
      <c r="AF23" s="1592"/>
    </row>
    <row r="24" spans="1:35" s="2094" customFormat="1" ht="15" thickBot="1">
      <c r="A24" s="2189" t="s">
        <v>2551</v>
      </c>
      <c r="B24" s="1586" t="s">
        <v>2552</v>
      </c>
      <c r="C24" s="2190">
        <f>SUMIF(A46:A88,E2,B46:B88)</f>
        <v>1</v>
      </c>
      <c r="D24" s="2191"/>
      <c r="E24" s="2192"/>
      <c r="F24" s="2192"/>
      <c r="G24" s="2192"/>
      <c r="H24" s="2192"/>
      <c r="I24" s="2192"/>
      <c r="J24" s="2193"/>
      <c r="K24" s="3019"/>
      <c r="L24" s="3019"/>
      <c r="M24" s="3019"/>
      <c r="N24" s="2194" t="s">
        <v>2553</v>
      </c>
      <c r="O24" s="2195"/>
      <c r="P24" s="2196">
        <f>SUMPRODUCT((地价!A3:A36=YEAR(G19)&amp;"-"&amp;ROUNDUP(MONTH(G19)/3,0))*(地价!AD2:AH2=N24)*(地价!AD3:AH36))</f>
        <v>1.2200000000000001E-2</v>
      </c>
      <c r="Q24" s="3019"/>
      <c r="R24" s="3017"/>
      <c r="S24" s="3017"/>
      <c r="T24" s="3017"/>
      <c r="U24" s="3017"/>
      <c r="V24" s="3017"/>
      <c r="W24" s="3017"/>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2"/>
      <c r="Y25" s="1592"/>
      <c r="Z25" s="1592"/>
      <c r="AA25" s="1592"/>
      <c r="AB25" s="1592"/>
      <c r="AC25" s="1592"/>
      <c r="AD25" s="1592"/>
      <c r="AE25" s="1592"/>
      <c r="AF25" s="1592"/>
    </row>
    <row r="26" spans="1:35" ht="14.4">
      <c r="A26" s="1672"/>
      <c r="B26" s="2041" t="s">
        <v>2557</v>
      </c>
      <c r="C26" s="2857" t="e">
        <f>IF(B21="容积率修正",E29+SUM(E33:E39),SUM(V2:V16)+SUM(E33:E39))</f>
        <v>#DIV/0!</v>
      </c>
      <c r="D26" s="2199"/>
      <c r="E26" s="2138"/>
      <c r="F26" s="1447"/>
      <c r="G26" s="2138"/>
      <c r="H26" s="2138"/>
      <c r="I26" s="2138"/>
      <c r="J26" s="2200"/>
      <c r="K26" s="3017"/>
      <c r="L26" s="3023" t="s">
        <v>2516</v>
      </c>
      <c r="M26" s="2101" t="s">
        <v>2517</v>
      </c>
      <c r="N26" s="2101" t="s">
        <v>2518</v>
      </c>
      <c r="O26" s="2101" t="s">
        <v>2519</v>
      </c>
      <c r="P26" s="3024" t="s">
        <v>2520</v>
      </c>
      <c r="Q26" s="3017"/>
      <c r="R26" s="3017"/>
      <c r="S26" s="3017"/>
      <c r="T26" s="3017"/>
      <c r="U26" s="3017"/>
      <c r="V26" s="3017"/>
      <c r="W26" s="3017"/>
      <c r="X26" s="1592"/>
      <c r="Y26" s="1592"/>
      <c r="Z26" s="1592"/>
      <c r="AA26" s="1592"/>
      <c r="AB26" s="1592"/>
      <c r="AC26" s="1592"/>
      <c r="AD26" s="1592"/>
      <c r="AE26" s="1592"/>
      <c r="AF26" s="1592"/>
    </row>
    <row r="27" spans="1:35" ht="15" thickBot="1">
      <c r="A27" s="1672"/>
      <c r="B27" s="1588" t="s">
        <v>2558</v>
      </c>
      <c r="C27" s="2201" t="e">
        <f>E30+SUM(I33:I39)</f>
        <v>#DIV/0!</v>
      </c>
      <c r="D27" s="2150"/>
      <c r="E27" s="2202"/>
      <c r="F27" s="2203"/>
      <c r="G27" s="2202"/>
      <c r="H27" s="2202"/>
      <c r="I27" s="2202"/>
      <c r="J27" s="2204"/>
      <c r="K27" s="3017"/>
      <c r="L27" s="2205" t="s">
        <v>2523</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 thickBot="1">
      <c r="A28" s="1687"/>
      <c r="B28" s="2207" t="s">
        <v>2559</v>
      </c>
      <c r="C28" s="2208" t="s">
        <v>2560</v>
      </c>
      <c r="D28" s="2208" t="s">
        <v>2561</v>
      </c>
      <c r="E28" s="1587" t="s">
        <v>2562</v>
      </c>
      <c r="F28" s="2209"/>
      <c r="G28" s="2125"/>
      <c r="H28" s="2125"/>
      <c r="I28" s="2125"/>
      <c r="J28" s="2126"/>
      <c r="K28" s="3017"/>
      <c r="L28" s="2210" t="s">
        <v>2526</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ht="25.2">
      <c r="A29" s="2212"/>
      <c r="B29" s="1589" t="s">
        <v>2563</v>
      </c>
      <c r="C29" s="54" t="e">
        <f>ROUND(C5*C18*C19*C20*C21*C24,0)</f>
        <v>#DIV/0!</v>
      </c>
      <c r="D29" s="2213">
        <f>项目基本情况!C12</f>
        <v>393.43</v>
      </c>
      <c r="E29" s="2000" t="e">
        <f>ROUND(C29*D29,0)</f>
        <v>#DIV/0!</v>
      </c>
      <c r="F29" s="2214" t="s">
        <v>2564</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8" thickBot="1">
      <c r="A30" s="2217"/>
      <c r="B30" s="1590" t="s">
        <v>2565</v>
      </c>
      <c r="C30" s="2141" t="e">
        <f>ROUND(IF(E2="工业",C29*M39,C29*M38),0)</f>
        <v>#DIV/0!</v>
      </c>
      <c r="D30" s="2218"/>
      <c r="E30" s="2000" t="e">
        <f>ROUND(C30*D30,0)</f>
        <v>#DIV/0!</v>
      </c>
      <c r="F30" s="2219" t="s">
        <v>2566</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36">
      <c r="A32" s="2212"/>
      <c r="B32" s="2225"/>
      <c r="C32" s="1780" t="s">
        <v>2560</v>
      </c>
      <c r="D32" s="1777" t="s">
        <v>2561</v>
      </c>
      <c r="E32" s="1777" t="s">
        <v>2562</v>
      </c>
      <c r="F32" s="50" t="s">
        <v>2570</v>
      </c>
      <c r="G32" s="2186" t="s">
        <v>2560</v>
      </c>
      <c r="H32" s="2186" t="s">
        <v>2561</v>
      </c>
      <c r="I32" s="2186" t="s">
        <v>2562</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576"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577"/>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577"/>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8" thickBot="1">
      <c r="A36" s="3578"/>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7"/>
      <c r="L37" s="2228" t="s">
        <v>2577</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7"/>
      <c r="L38" s="2229" t="s">
        <v>2579</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8"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7"/>
      <c r="L39" s="2232" t="s">
        <v>2520</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ht="24">
      <c r="A41" s="1592"/>
      <c r="B41" s="2235" t="s">
        <v>2659</v>
      </c>
      <c r="C41" s="50">
        <f>ROUND(POWER(1+E41,H41-G41)*(POWER(1+E41,G41)-1)/(POWER(1+E41,H41)-1),4)</f>
        <v>0</v>
      </c>
      <c r="D41" s="50" t="s">
        <v>2657</v>
      </c>
      <c r="E41" s="2236">
        <f>G20</f>
        <v>4.8000000000000001E-2</v>
      </c>
      <c r="F41" s="50" t="s">
        <v>2658</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 thickBot="1">
      <c r="A45" s="2238" t="s">
        <v>2581</v>
      </c>
      <c r="B45" s="2239"/>
      <c r="C45" s="608"/>
      <c r="D45" s="608"/>
      <c r="E45" s="608"/>
      <c r="F45" s="608"/>
      <c r="G45" s="608"/>
      <c r="H45" s="608"/>
      <c r="I45" s="608"/>
      <c r="J45" s="608"/>
      <c r="K45" s="608"/>
      <c r="L45" s="608"/>
      <c r="M45" s="608"/>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4.4">
      <c r="A46" s="2240" t="s">
        <v>2582</v>
      </c>
      <c r="B46" s="2241">
        <f>1+E48</f>
        <v>1</v>
      </c>
      <c r="C46" s="2242"/>
      <c r="D46" s="2243"/>
      <c r="E46" s="2244"/>
      <c r="F46" s="2245"/>
      <c r="G46" s="608"/>
      <c r="H46" s="608"/>
      <c r="I46" s="608"/>
      <c r="J46" s="608"/>
      <c r="K46" s="608"/>
      <c r="L46" s="608"/>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5.2">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52.8">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66">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50.4">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36">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6.4">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6.4">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40.200000000000003"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4.4">
      <c r="A57" s="2240" t="s">
        <v>2608</v>
      </c>
      <c r="B57" s="2269">
        <f>1+E59</f>
        <v>1</v>
      </c>
      <c r="C57" s="2243"/>
      <c r="D57" s="2243"/>
      <c r="E57" s="2244"/>
      <c r="F57" s="2245"/>
      <c r="G57" s="608"/>
      <c r="H57" s="608"/>
      <c r="I57" s="608"/>
      <c r="J57" s="608"/>
      <c r="K57" s="608"/>
      <c r="L57" s="608"/>
      <c r="M57" s="608"/>
      <c r="N57" s="608"/>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5.2">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52.8">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66">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50.4">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36">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6.4">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6.4">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40.200000000000003"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4.4">
      <c r="A68" s="2240" t="s">
        <v>2613</v>
      </c>
      <c r="B68" s="2269">
        <f>1+E70</f>
        <v>1</v>
      </c>
      <c r="C68" s="2243"/>
      <c r="D68" s="2243"/>
      <c r="E68" s="2244"/>
      <c r="F68" s="2245"/>
      <c r="G68" s="608"/>
      <c r="H68" s="608"/>
      <c r="I68" s="608"/>
      <c r="J68" s="608"/>
      <c r="K68" s="608"/>
      <c r="L68" s="608"/>
      <c r="M68" s="608"/>
      <c r="N68" s="608"/>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5.2">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66">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66">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3.8">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6.4">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6.4">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36">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5"/>
      <c r="R76" s="3025"/>
      <c r="S76" s="3025"/>
      <c r="T76" s="3025"/>
      <c r="U76" s="3025"/>
      <c r="V76" s="3025"/>
      <c r="W76" s="3025"/>
      <c r="AA76" s="1593"/>
      <c r="AG76" s="2234"/>
    </row>
    <row r="77" spans="1:33" ht="39.6">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5"/>
      <c r="R77" s="3025"/>
      <c r="S77" s="3025"/>
      <c r="T77" s="3025"/>
      <c r="U77" s="3025"/>
      <c r="V77" s="3025"/>
      <c r="W77" s="3025"/>
      <c r="AA77" s="1593"/>
      <c r="AG77" s="2234"/>
    </row>
    <row r="78" spans="1:33" ht="36.6"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5"/>
      <c r="R78" s="3025"/>
      <c r="S78" s="3025"/>
      <c r="T78" s="3025"/>
      <c r="U78" s="3025"/>
      <c r="V78" s="3025"/>
      <c r="W78" s="3025"/>
      <c r="AA78" s="1593"/>
      <c r="AG78" s="2234"/>
    </row>
    <row r="79" spans="1:33" ht="14.4">
      <c r="A79" s="2240" t="s">
        <v>2617</v>
      </c>
      <c r="B79" s="2269">
        <f>1+E81</f>
        <v>1</v>
      </c>
      <c r="C79" s="2243"/>
      <c r="D79" s="2243"/>
      <c r="E79" s="2244"/>
      <c r="F79" s="2245"/>
      <c r="G79" s="608"/>
      <c r="H79" s="608"/>
      <c r="I79" s="608"/>
      <c r="J79" s="608"/>
      <c r="K79" s="608"/>
      <c r="L79" s="608"/>
      <c r="M79" s="608"/>
      <c r="N79" s="608"/>
      <c r="Q79" s="3025"/>
      <c r="R79" s="3025"/>
      <c r="S79" s="3025"/>
      <c r="T79" s="3025"/>
      <c r="U79" s="3025"/>
      <c r="V79" s="3025"/>
      <c r="W79" s="3025"/>
      <c r="AA79" s="1593"/>
      <c r="AG79" s="2234"/>
    </row>
    <row r="80" spans="1:33" ht="25.2">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5"/>
      <c r="R80" s="3025"/>
      <c r="S80" s="3025"/>
      <c r="T80" s="3025"/>
      <c r="U80" s="3025"/>
      <c r="V80" s="3025"/>
      <c r="W80" s="3025"/>
      <c r="AA80" s="1593"/>
      <c r="AG80" s="2234"/>
    </row>
    <row r="81" spans="1:33" ht="39.6">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5"/>
      <c r="R81" s="3025"/>
      <c r="S81" s="3025"/>
      <c r="T81" s="3025"/>
      <c r="U81" s="3025"/>
      <c r="V81" s="3025"/>
      <c r="W81" s="3025"/>
      <c r="AA81" s="1593"/>
      <c r="AG81" s="2234"/>
    </row>
    <row r="82" spans="1:33" ht="66">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5"/>
      <c r="R82" s="3025"/>
      <c r="S82" s="3025"/>
      <c r="T82" s="3025"/>
      <c r="U82" s="3025"/>
      <c r="V82" s="3025"/>
      <c r="W82" s="3025"/>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5"/>
      <c r="R83" s="3025"/>
      <c r="S83" s="3025"/>
      <c r="T83" s="3025"/>
      <c r="U83" s="3025"/>
      <c r="V83" s="3025"/>
      <c r="W83" s="3025"/>
      <c r="AA83" s="1593"/>
      <c r="AG83" s="2234"/>
    </row>
    <row r="84" spans="1:33" ht="13.8">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5"/>
      <c r="R84" s="3025"/>
      <c r="S84" s="3025"/>
      <c r="T84" s="3025"/>
      <c r="U84" s="3025"/>
      <c r="V84" s="3025"/>
      <c r="W84" s="3025"/>
      <c r="AA84" s="1593"/>
      <c r="AG84" s="2234"/>
    </row>
    <row r="85" spans="1:33" ht="26.4">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5"/>
      <c r="R85" s="3025"/>
      <c r="S85" s="3025"/>
      <c r="T85" s="3025"/>
      <c r="U85" s="3025"/>
      <c r="V85" s="3025"/>
      <c r="W85" s="3025"/>
      <c r="AA85" s="1593"/>
      <c r="AG85" s="2234"/>
    </row>
    <row r="86" spans="1:33" ht="26.4">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5"/>
      <c r="R86" s="3025"/>
      <c r="S86" s="3025"/>
      <c r="T86" s="3025"/>
      <c r="U86" s="3025"/>
      <c r="V86" s="3025"/>
      <c r="W86" s="3025"/>
      <c r="AA86" s="1593"/>
      <c r="AG86" s="2234"/>
    </row>
    <row r="87" spans="1:33" ht="36">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5"/>
      <c r="R87" s="3025"/>
      <c r="S87" s="3025"/>
      <c r="T87" s="3025"/>
      <c r="U87" s="3025"/>
      <c r="V87" s="3025"/>
      <c r="W87" s="3025"/>
      <c r="AA87" s="1593"/>
      <c r="AG87" s="2234"/>
    </row>
    <row r="88" spans="1:33" ht="53.4"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5"/>
      <c r="R88" s="3025"/>
      <c r="S88" s="3025"/>
      <c r="T88" s="3025"/>
      <c r="U88" s="3025"/>
      <c r="V88" s="3025"/>
      <c r="W88" s="3025"/>
      <c r="AA88" s="1593"/>
      <c r="AG88" s="2234"/>
    </row>
    <row r="89" spans="1:33">
      <c r="Q89" s="3025"/>
      <c r="R89" s="3025"/>
      <c r="S89" s="3025"/>
      <c r="T89" s="3025"/>
      <c r="U89" s="3025"/>
      <c r="V89" s="3025"/>
      <c r="W89" s="3025"/>
    </row>
    <row r="90" spans="1:33">
      <c r="A90" s="3568" t="s">
        <v>2620</v>
      </c>
      <c r="B90" s="3568"/>
      <c r="C90" s="3568"/>
      <c r="D90" s="3568"/>
      <c r="E90" s="3568"/>
      <c r="F90" s="3568"/>
      <c r="G90" s="3568"/>
      <c r="H90" s="3568"/>
      <c r="I90" s="3568"/>
      <c r="J90" s="3568"/>
      <c r="K90" s="2275"/>
      <c r="L90" s="2275"/>
      <c r="M90" s="2275"/>
      <c r="N90" s="2275"/>
      <c r="Q90" s="3025"/>
      <c r="R90" s="3025"/>
      <c r="S90" s="3025"/>
      <c r="T90" s="3025"/>
      <c r="U90" s="3025"/>
      <c r="V90" s="3025"/>
      <c r="W90" s="3025"/>
    </row>
    <row r="91" spans="1:33">
      <c r="A91" s="3570" t="s">
        <v>2621</v>
      </c>
      <c r="B91" s="3570" t="s">
        <v>2622</v>
      </c>
      <c r="C91" s="2214" t="s">
        <v>2623</v>
      </c>
      <c r="D91" s="2215"/>
      <c r="E91" s="2215"/>
      <c r="F91" s="2215"/>
      <c r="G91" s="2215"/>
      <c r="H91" s="2215"/>
      <c r="I91" s="2215"/>
      <c r="J91" s="2277"/>
      <c r="K91" s="2037"/>
      <c r="L91" s="2037"/>
      <c r="M91" s="2037"/>
      <c r="N91" s="2037"/>
      <c r="Q91" s="3025"/>
      <c r="R91" s="3025"/>
      <c r="S91" s="3025"/>
      <c r="T91" s="3025"/>
      <c r="U91" s="3025"/>
      <c r="V91" s="3025"/>
      <c r="W91" s="3025"/>
    </row>
    <row r="92" spans="1:33">
      <c r="A92" s="3570"/>
      <c r="B92" s="3570"/>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5"/>
      <c r="R92" s="3025"/>
      <c r="S92" s="3025"/>
      <c r="T92" s="3025"/>
      <c r="U92" s="3025"/>
      <c r="V92" s="3025"/>
      <c r="W92" s="3025"/>
    </row>
    <row r="93" spans="1:33">
      <c r="A93" s="3571"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572"/>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572"/>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572"/>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572"/>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572"/>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572"/>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5"/>
      <c r="R99" s="3025"/>
      <c r="S99" s="3025"/>
      <c r="T99" s="3025"/>
      <c r="U99" s="3025"/>
      <c r="V99" s="3025"/>
      <c r="W99" s="3025"/>
    </row>
    <row r="100" spans="1:23">
      <c r="A100" s="3573"/>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5"/>
      <c r="R100" s="3025"/>
      <c r="S100" s="3025"/>
      <c r="T100" s="3025"/>
      <c r="U100" s="3025"/>
      <c r="V100" s="3025"/>
      <c r="W100" s="3025"/>
    </row>
    <row r="101" spans="1:23">
      <c r="A101" s="3571"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5"/>
      <c r="R101" s="3025"/>
      <c r="S101" s="3025"/>
      <c r="T101" s="3025"/>
      <c r="U101" s="3025"/>
      <c r="V101" s="3025"/>
      <c r="W101" s="3025"/>
    </row>
    <row r="102" spans="1:23">
      <c r="A102" s="3572"/>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5"/>
      <c r="R102" s="3025"/>
      <c r="S102" s="3025"/>
      <c r="T102" s="3025"/>
      <c r="U102" s="3025"/>
      <c r="V102" s="3025"/>
      <c r="W102" s="3025"/>
    </row>
    <row r="103" spans="1:23">
      <c r="A103" s="3572"/>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5"/>
      <c r="R103" s="3025"/>
      <c r="S103" s="3025"/>
      <c r="T103" s="3025"/>
      <c r="U103" s="3025"/>
      <c r="V103" s="3025"/>
      <c r="W103" s="3025"/>
    </row>
    <row r="104" spans="1:23">
      <c r="A104" s="3572"/>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5"/>
      <c r="R104" s="3025"/>
      <c r="S104" s="3025"/>
      <c r="T104" s="3025"/>
      <c r="U104" s="3025"/>
      <c r="V104" s="3025"/>
      <c r="W104" s="3025"/>
    </row>
    <row r="105" spans="1:23">
      <c r="A105" s="3572"/>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5"/>
      <c r="R105" s="3025"/>
      <c r="S105" s="3025"/>
      <c r="T105" s="3025"/>
      <c r="U105" s="3025"/>
      <c r="V105" s="3025"/>
      <c r="W105" s="3025"/>
    </row>
    <row r="106" spans="1:23">
      <c r="A106" s="3572"/>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5"/>
      <c r="R106" s="3025"/>
      <c r="S106" s="3025"/>
      <c r="T106" s="3025"/>
      <c r="U106" s="3025"/>
      <c r="V106" s="3025"/>
      <c r="W106" s="3025"/>
    </row>
    <row r="107" spans="1:23">
      <c r="A107" s="3572"/>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5"/>
      <c r="R107" s="3025"/>
      <c r="S107" s="3025"/>
      <c r="T107" s="3025"/>
      <c r="U107" s="3025"/>
      <c r="V107" s="3025"/>
      <c r="W107" s="3025"/>
    </row>
    <row r="108" spans="1:23">
      <c r="A108" s="3572"/>
      <c r="B108" s="3574"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5"/>
      <c r="R108" s="3025"/>
      <c r="S108" s="3025"/>
      <c r="T108" s="3025"/>
      <c r="U108" s="3025"/>
      <c r="V108" s="3025"/>
      <c r="W108" s="3025"/>
    </row>
    <row r="109" spans="1:23">
      <c r="A109" s="3573"/>
      <c r="B109" s="3575"/>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5"/>
      <c r="R109" s="3025"/>
      <c r="S109" s="3025"/>
      <c r="T109" s="3025"/>
      <c r="U109" s="3025"/>
      <c r="V109" s="3025"/>
      <c r="W109" s="3025"/>
    </row>
    <row r="110" spans="1:23">
      <c r="A110" s="3569" t="s">
        <v>2628</v>
      </c>
      <c r="B110" s="3569"/>
      <c r="C110" s="3569"/>
      <c r="D110" s="3569"/>
      <c r="E110" s="3569"/>
      <c r="F110" s="3569"/>
      <c r="G110" s="3569"/>
      <c r="H110" s="3569"/>
      <c r="I110" s="3569"/>
      <c r="J110" s="3569"/>
      <c r="K110" s="2049"/>
      <c r="L110" s="2049"/>
      <c r="M110" s="2049"/>
      <c r="N110" s="2049"/>
      <c r="Q110" s="3025"/>
      <c r="R110" s="3025"/>
      <c r="S110" s="3025"/>
      <c r="T110" s="3025"/>
      <c r="U110" s="3025"/>
      <c r="V110" s="3025"/>
      <c r="W110" s="3025"/>
    </row>
    <row r="112" spans="1:23" ht="13.8" thickBot="1"/>
    <row r="113" spans="1:13" ht="25.8"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8"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3.8"/>
  <cols>
    <col min="1" max="1" width="10.44140625" style="296" customWidth="1"/>
    <col min="2" max="2" width="15.77734375" style="296" customWidth="1"/>
    <col min="3" max="3" width="16.7773437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2184</v>
      </c>
      <c r="B1" s="1196" t="s">
        <v>2343</v>
      </c>
      <c r="C1" s="1188" t="s">
        <v>2690</v>
      </c>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4"/>
      <c r="M7" s="2995"/>
      <c r="N7" s="2995"/>
      <c r="O7" s="2995"/>
      <c r="P7" s="3589" t="s">
        <v>2202</v>
      </c>
      <c r="Q7" s="3597"/>
      <c r="R7" s="627" t="s">
        <v>25</v>
      </c>
      <c r="S7" s="628">
        <f t="shared" ref="S7:S15" si="0">F7</f>
        <v>100</v>
      </c>
      <c r="T7" s="627" t="s">
        <v>25</v>
      </c>
      <c r="U7" s="628">
        <f t="shared" ref="U7:U15" si="1">H7</f>
        <v>100</v>
      </c>
      <c r="V7" s="627" t="s">
        <v>25</v>
      </c>
      <c r="W7" s="628">
        <f t="shared" ref="W7:W15" si="2">J7</f>
        <v>100</v>
      </c>
      <c r="X7" s="629"/>
      <c r="Y7" s="3589" t="s">
        <v>2202</v>
      </c>
      <c r="Z7" s="3590"/>
      <c r="AA7" s="630">
        <f>D7/F7</f>
        <v>1</v>
      </c>
      <c r="AB7" s="630">
        <f>D7/H7</f>
        <v>1</v>
      </c>
      <c r="AC7" s="630">
        <f>D7/J7</f>
        <v>1</v>
      </c>
    </row>
    <row r="8" spans="1:29" s="25" customFormat="1" ht="15" thickBot="1">
      <c r="A8" s="301" t="s">
        <v>2203</v>
      </c>
      <c r="B8" s="302"/>
      <c r="C8" s="307" t="s">
        <v>2826</v>
      </c>
      <c r="D8" s="304">
        <v>100</v>
      </c>
      <c r="E8" s="3313" t="s">
        <v>3004</v>
      </c>
      <c r="F8" s="306">
        <f>SUMIF(55:55,E8,56:56)-SUMIF(55:55,C8,56:56)+100</f>
        <v>100</v>
      </c>
      <c r="G8" s="3313" t="s">
        <v>3004</v>
      </c>
      <c r="H8" s="304">
        <f>SUMIF(55:55,G8,56:56)-SUMIF(55:55,C8,56:56)+100</f>
        <v>100</v>
      </c>
      <c r="I8" s="3313" t="s">
        <v>3004</v>
      </c>
      <c r="J8" s="304">
        <f>SUMIF(55:55,I8,56:56)-SUMIF(55:55,C8,56:56)+100</f>
        <v>100</v>
      </c>
      <c r="K8" s="497"/>
      <c r="L8" s="2994"/>
      <c r="M8" s="2995"/>
      <c r="N8" s="2995"/>
      <c r="O8" s="2995"/>
      <c r="P8" s="3589" t="s">
        <v>2205</v>
      </c>
      <c r="Q8" s="3590"/>
      <c r="R8" s="627" t="s">
        <v>25</v>
      </c>
      <c r="S8" s="628">
        <f t="shared" si="0"/>
        <v>100</v>
      </c>
      <c r="T8" s="627" t="s">
        <v>25</v>
      </c>
      <c r="U8" s="628">
        <f t="shared" si="1"/>
        <v>100</v>
      </c>
      <c r="V8" s="627" t="s">
        <v>25</v>
      </c>
      <c r="W8" s="628">
        <f t="shared" si="2"/>
        <v>100</v>
      </c>
      <c r="X8" s="629"/>
      <c r="Y8" s="3589" t="s">
        <v>2205</v>
      </c>
      <c r="Z8" s="3590"/>
      <c r="AA8" s="630">
        <f t="shared" ref="AA8:AA40" si="3">D8/F8</f>
        <v>1</v>
      </c>
      <c r="AB8" s="630">
        <f t="shared" ref="AB8:AB40" si="4">D8/H8</f>
        <v>1</v>
      </c>
      <c r="AC8" s="630">
        <f t="shared" ref="AC8:AC40" si="5">D8/J8</f>
        <v>1</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581" t="s">
        <v>2208</v>
      </c>
      <c r="Q9" s="1296" t="str">
        <f t="shared" ref="Q9:Q15" si="6">B9</f>
        <v>用途</v>
      </c>
      <c r="R9" s="627" t="s">
        <v>25</v>
      </c>
      <c r="S9" s="628">
        <f t="shared" si="0"/>
        <v>100</v>
      </c>
      <c r="T9" s="627" t="s">
        <v>25</v>
      </c>
      <c r="U9" s="628">
        <f t="shared" si="1"/>
        <v>100</v>
      </c>
      <c r="V9" s="627" t="s">
        <v>25</v>
      </c>
      <c r="W9" s="628">
        <f t="shared" si="2"/>
        <v>100</v>
      </c>
      <c r="X9" s="629"/>
      <c r="Y9" s="3600"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0"/>
      <c r="M11" s="2993"/>
      <c r="N11" s="2993"/>
      <c r="O11" s="3001"/>
      <c r="P11" s="3581"/>
      <c r="Q11" s="1296" t="str">
        <f t="shared" si="6"/>
        <v>容积率</v>
      </c>
      <c r="R11" s="627" t="s">
        <v>25</v>
      </c>
      <c r="S11" s="628">
        <f t="shared" si="0"/>
        <v>100</v>
      </c>
      <c r="T11" s="627" t="s">
        <v>25</v>
      </c>
      <c r="U11" s="628">
        <f t="shared" si="1"/>
        <v>100</v>
      </c>
      <c r="V11" s="627" t="s">
        <v>25</v>
      </c>
      <c r="W11" s="628">
        <f t="shared" si="2"/>
        <v>100</v>
      </c>
      <c r="X11" s="629"/>
      <c r="Y11" s="3600"/>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15.6"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581"/>
      <c r="Q14" s="1296">
        <f t="shared" si="6"/>
        <v>111</v>
      </c>
      <c r="R14" s="627" t="s">
        <v>25</v>
      </c>
      <c r="S14" s="628">
        <f t="shared" si="0"/>
        <v>100</v>
      </c>
      <c r="T14" s="627" t="s">
        <v>25</v>
      </c>
      <c r="U14" s="628">
        <f t="shared" si="1"/>
        <v>100</v>
      </c>
      <c r="V14" s="627" t="s">
        <v>25</v>
      </c>
      <c r="W14" s="628">
        <f t="shared" si="2"/>
        <v>100</v>
      </c>
      <c r="X14" s="629"/>
      <c r="Y14" s="3600"/>
      <c r="Z14" s="19">
        <f t="shared" si="7"/>
        <v>111</v>
      </c>
      <c r="AA14" s="630">
        <f t="shared" si="3"/>
        <v>1</v>
      </c>
      <c r="AB14" s="630">
        <f t="shared" si="4"/>
        <v>1</v>
      </c>
      <c r="AC14" s="630">
        <f t="shared" si="5"/>
        <v>1</v>
      </c>
    </row>
    <row r="15" spans="1:29" ht="55.2">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598" t="s">
        <v>2213</v>
      </c>
      <c r="Q15" s="1303" t="str">
        <f t="shared" si="6"/>
        <v>产业集聚程度</v>
      </c>
      <c r="R15" s="631" t="s">
        <v>25</v>
      </c>
      <c r="S15" s="632">
        <f t="shared" si="0"/>
        <v>100</v>
      </c>
      <c r="T15" s="631" t="s">
        <v>25</v>
      </c>
      <c r="U15" s="632">
        <f t="shared" si="1"/>
        <v>100</v>
      </c>
      <c r="V15" s="631" t="s">
        <v>25</v>
      </c>
      <c r="W15" s="632">
        <f t="shared" si="2"/>
        <v>100</v>
      </c>
      <c r="X15" s="1304"/>
      <c r="Y15" s="3598"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599"/>
      <c r="Q16" s="1303"/>
      <c r="R16" s="631"/>
      <c r="S16" s="632"/>
      <c r="T16" s="631"/>
      <c r="U16" s="632"/>
      <c r="V16" s="631"/>
      <c r="W16" s="632"/>
      <c r="X16" s="1304"/>
      <c r="Y16" s="3599"/>
      <c r="Z16" s="1305"/>
      <c r="AA16" s="1306">
        <v>1</v>
      </c>
      <c r="AB16" s="1306">
        <v>1</v>
      </c>
      <c r="AC16" s="1306">
        <v>1</v>
      </c>
    </row>
    <row r="17" spans="1:29" ht="69">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599"/>
      <c r="Q17" s="1303" t="str">
        <f>B17</f>
        <v>交通便捷度</v>
      </c>
      <c r="R17" s="631" t="s">
        <v>25</v>
      </c>
      <c r="S17" s="632">
        <f>F17</f>
        <v>100</v>
      </c>
      <c r="T17" s="631" t="s">
        <v>25</v>
      </c>
      <c r="U17" s="632">
        <f>H17</f>
        <v>100</v>
      </c>
      <c r="V17" s="631" t="s">
        <v>25</v>
      </c>
      <c r="W17" s="632">
        <f>J17</f>
        <v>100</v>
      </c>
      <c r="X17" s="1304"/>
      <c r="Y17" s="3599"/>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599"/>
      <c r="Q18" s="1303"/>
      <c r="R18" s="631"/>
      <c r="S18" s="632"/>
      <c r="T18" s="631"/>
      <c r="U18" s="632"/>
      <c r="V18" s="631"/>
      <c r="W18" s="632"/>
      <c r="X18" s="1304"/>
      <c r="Y18" s="3599"/>
      <c r="Z18" s="1305"/>
      <c r="AA18" s="1306">
        <v>1</v>
      </c>
      <c r="AB18" s="1306">
        <v>1</v>
      </c>
      <c r="AC18" s="1306">
        <v>1</v>
      </c>
    </row>
    <row r="19" spans="1:29" ht="41.4">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599"/>
      <c r="Q19" s="1303" t="str">
        <f>B19</f>
        <v>公共配套设施</v>
      </c>
      <c r="R19" s="631" t="s">
        <v>25</v>
      </c>
      <c r="S19" s="632">
        <f>F19</f>
        <v>100</v>
      </c>
      <c r="T19" s="631" t="s">
        <v>25</v>
      </c>
      <c r="U19" s="632">
        <f>H19</f>
        <v>100</v>
      </c>
      <c r="V19" s="631" t="s">
        <v>25</v>
      </c>
      <c r="W19" s="632">
        <f>J19</f>
        <v>100</v>
      </c>
      <c r="X19" s="1304"/>
      <c r="Y19" s="3599"/>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599"/>
      <c r="Q20" s="1303"/>
      <c r="R20" s="631"/>
      <c r="S20" s="632"/>
      <c r="T20" s="631"/>
      <c r="U20" s="632"/>
      <c r="V20" s="631"/>
      <c r="W20" s="632"/>
      <c r="X20" s="1304"/>
      <c r="Y20" s="3599"/>
      <c r="Z20" s="1305"/>
      <c r="AA20" s="1306">
        <v>1</v>
      </c>
      <c r="AB20" s="1306">
        <v>1</v>
      </c>
      <c r="AC20" s="1306">
        <v>1</v>
      </c>
    </row>
    <row r="21" spans="1:29" ht="27.6">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599"/>
      <c r="Q21" s="1303" t="str">
        <f>B21</f>
        <v>基础设施水平</v>
      </c>
      <c r="R21" s="631" t="s">
        <v>25</v>
      </c>
      <c r="S21" s="632">
        <f>F21</f>
        <v>100</v>
      </c>
      <c r="T21" s="631" t="s">
        <v>25</v>
      </c>
      <c r="U21" s="632">
        <f>H21</f>
        <v>100</v>
      </c>
      <c r="V21" s="631" t="s">
        <v>25</v>
      </c>
      <c r="W21" s="632">
        <f>J21</f>
        <v>100</v>
      </c>
      <c r="X21" s="1304"/>
      <c r="Y21" s="3599"/>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599"/>
      <c r="Q22" s="1303"/>
      <c r="R22" s="631"/>
      <c r="S22" s="632"/>
      <c r="T22" s="631"/>
      <c r="U22" s="632"/>
      <c r="V22" s="631"/>
      <c r="W22" s="632"/>
      <c r="X22" s="1304"/>
      <c r="Y22" s="3599"/>
      <c r="Z22" s="1305"/>
      <c r="AA22" s="1306">
        <v>1</v>
      </c>
      <c r="AB22" s="1306">
        <v>1</v>
      </c>
      <c r="AC22" s="1306">
        <v>1</v>
      </c>
    </row>
    <row r="23" spans="1:29" ht="55.2">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599"/>
      <c r="Q23" s="1303" t="str">
        <f>B23</f>
        <v>环境质量</v>
      </c>
      <c r="R23" s="631" t="s">
        <v>25</v>
      </c>
      <c r="S23" s="632">
        <f>F23</f>
        <v>100</v>
      </c>
      <c r="T23" s="631" t="s">
        <v>25</v>
      </c>
      <c r="U23" s="632">
        <f>H23</f>
        <v>100</v>
      </c>
      <c r="V23" s="631" t="s">
        <v>25</v>
      </c>
      <c r="W23" s="632">
        <f>J23</f>
        <v>100</v>
      </c>
      <c r="X23" s="1304"/>
      <c r="Y23" s="3599"/>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599"/>
      <c r="Q24" s="1303"/>
      <c r="R24" s="631"/>
      <c r="S24" s="632"/>
      <c r="T24" s="631"/>
      <c r="U24" s="632"/>
      <c r="V24" s="631"/>
      <c r="W24" s="632"/>
      <c r="X24" s="1304"/>
      <c r="Y24" s="3599"/>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599"/>
      <c r="Q25" s="1303">
        <f>B25</f>
        <v>111</v>
      </c>
      <c r="R25" s="631" t="s">
        <v>25</v>
      </c>
      <c r="S25" s="632">
        <f>F25</f>
        <v>100</v>
      </c>
      <c r="T25" s="631" t="s">
        <v>25</v>
      </c>
      <c r="U25" s="632">
        <f>H25</f>
        <v>100</v>
      </c>
      <c r="V25" s="631" t="s">
        <v>25</v>
      </c>
      <c r="W25" s="632">
        <f>J25</f>
        <v>100</v>
      </c>
      <c r="X25" s="1304"/>
      <c r="Y25" s="3599"/>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599"/>
      <c r="Q26" s="1303">
        <f t="shared" ref="Q26:Q40" si="11">B26</f>
        <v>111</v>
      </c>
      <c r="R26" s="631" t="s">
        <v>25</v>
      </c>
      <c r="S26" s="632">
        <f>F26</f>
        <v>100</v>
      </c>
      <c r="T26" s="631" t="s">
        <v>25</v>
      </c>
      <c r="U26" s="632">
        <f>H26</f>
        <v>100</v>
      </c>
      <c r="V26" s="631" t="s">
        <v>25</v>
      </c>
      <c r="W26" s="632">
        <f>J26</f>
        <v>100</v>
      </c>
      <c r="X26" s="1304"/>
      <c r="Y26" s="3599"/>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599"/>
      <c r="Q27" s="1296">
        <f t="shared" si="11"/>
        <v>111</v>
      </c>
      <c r="R27" s="627" t="s">
        <v>25</v>
      </c>
      <c r="S27" s="628">
        <f>F27</f>
        <v>100</v>
      </c>
      <c r="T27" s="627" t="s">
        <v>25</v>
      </c>
      <c r="U27" s="628">
        <f>H27</f>
        <v>100</v>
      </c>
      <c r="V27" s="627" t="s">
        <v>25</v>
      </c>
      <c r="W27" s="628">
        <f>J27</f>
        <v>100</v>
      </c>
      <c r="X27" s="629"/>
      <c r="Y27" s="3599"/>
      <c r="Z27" s="19">
        <f>Q27</f>
        <v>111</v>
      </c>
      <c r="AA27" s="1306">
        <f>D27/F27</f>
        <v>1</v>
      </c>
      <c r="AB27" s="1306">
        <f>D27/H27</f>
        <v>1</v>
      </c>
      <c r="AC27" s="1306">
        <f>D27/J27</f>
        <v>1</v>
      </c>
    </row>
    <row r="28" spans="1:29" ht="15.6"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599"/>
      <c r="Q28" s="1303">
        <f t="shared" si="11"/>
        <v>111</v>
      </c>
      <c r="R28" s="631" t="s">
        <v>25</v>
      </c>
      <c r="S28" s="632">
        <f t="shared" ref="S28:S40" si="12">F28</f>
        <v>100</v>
      </c>
      <c r="T28" s="631" t="s">
        <v>25</v>
      </c>
      <c r="U28" s="632">
        <f t="shared" ref="U28:U40" si="13">H28</f>
        <v>100</v>
      </c>
      <c r="V28" s="631" t="s">
        <v>25</v>
      </c>
      <c r="W28" s="632">
        <f t="shared" ref="W28:W40" si="14">J28</f>
        <v>100</v>
      </c>
      <c r="X28" s="1304"/>
      <c r="Y28" s="3599"/>
      <c r="Z28" s="1305">
        <f t="shared" ref="Z28:Z40" si="15">Q28</f>
        <v>111</v>
      </c>
      <c r="AA28" s="1306">
        <f t="shared" si="3"/>
        <v>1</v>
      </c>
      <c r="AB28" s="1306">
        <f t="shared" si="4"/>
        <v>1</v>
      </c>
      <c r="AC28" s="1306">
        <f t="shared" si="5"/>
        <v>1</v>
      </c>
    </row>
    <row r="29" spans="1:29" ht="30">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586" t="s">
        <v>2219</v>
      </c>
      <c r="Q29" s="1303" t="str">
        <f t="shared" si="11"/>
        <v>建筑类型</v>
      </c>
      <c r="R29" s="631" t="s">
        <v>25</v>
      </c>
      <c r="S29" s="632">
        <f t="shared" si="12"/>
        <v>100</v>
      </c>
      <c r="T29" s="631" t="s">
        <v>25</v>
      </c>
      <c r="U29" s="632">
        <f t="shared" si="13"/>
        <v>100</v>
      </c>
      <c r="V29" s="631" t="s">
        <v>25</v>
      </c>
      <c r="W29" s="632">
        <f t="shared" si="14"/>
        <v>100</v>
      </c>
      <c r="X29" s="1304"/>
      <c r="Y29" s="3587"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0"/>
      <c r="M30" s="358"/>
      <c r="N30" s="358"/>
      <c r="O30" s="3003"/>
      <c r="P30" s="3587"/>
      <c r="Q30" s="633" t="str">
        <f t="shared" si="11"/>
        <v>项目建筑规模</v>
      </c>
      <c r="R30" s="634" t="s">
        <v>25</v>
      </c>
      <c r="S30" s="635">
        <f t="shared" si="12"/>
        <v>100</v>
      </c>
      <c r="T30" s="634" t="s">
        <v>25</v>
      </c>
      <c r="U30" s="635">
        <f t="shared" si="13"/>
        <v>98</v>
      </c>
      <c r="V30" s="634" t="s">
        <v>25</v>
      </c>
      <c r="W30" s="635">
        <f t="shared" si="14"/>
        <v>102</v>
      </c>
      <c r="X30" s="636"/>
      <c r="Y30" s="3587"/>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587"/>
      <c r="Q31" s="1303" t="str">
        <f t="shared" si="11"/>
        <v>建筑结构</v>
      </c>
      <c r="R31" s="631" t="s">
        <v>25</v>
      </c>
      <c r="S31" s="632">
        <f t="shared" si="12"/>
        <v>100</v>
      </c>
      <c r="T31" s="631" t="s">
        <v>25</v>
      </c>
      <c r="U31" s="632">
        <f t="shared" si="13"/>
        <v>100</v>
      </c>
      <c r="V31" s="631" t="s">
        <v>25</v>
      </c>
      <c r="W31" s="632">
        <f t="shared" si="14"/>
        <v>100</v>
      </c>
      <c r="X31" s="1304"/>
      <c r="Y31" s="3587"/>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587"/>
      <c r="Q32" s="1303" t="str">
        <f t="shared" si="11"/>
        <v>公共部分装修</v>
      </c>
      <c r="R32" s="631" t="s">
        <v>25</v>
      </c>
      <c r="S32" s="632">
        <f t="shared" si="12"/>
        <v>100</v>
      </c>
      <c r="T32" s="631" t="s">
        <v>25</v>
      </c>
      <c r="U32" s="632">
        <f t="shared" si="13"/>
        <v>100</v>
      </c>
      <c r="V32" s="631" t="s">
        <v>25</v>
      </c>
      <c r="W32" s="632">
        <f t="shared" si="14"/>
        <v>100</v>
      </c>
      <c r="X32" s="1304"/>
      <c r="Y32" s="3587"/>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2"/>
      <c r="M33" s="2993"/>
      <c r="N33" s="2993"/>
      <c r="O33" s="3001"/>
      <c r="P33" s="3587"/>
      <c r="Q33" s="1303" t="str">
        <f t="shared" si="11"/>
        <v>成新度</v>
      </c>
      <c r="R33" s="631" t="s">
        <v>25</v>
      </c>
      <c r="S33" s="632">
        <f t="shared" si="12"/>
        <v>100</v>
      </c>
      <c r="T33" s="631" t="s">
        <v>25</v>
      </c>
      <c r="U33" s="632">
        <f t="shared" si="13"/>
        <v>100</v>
      </c>
      <c r="V33" s="631" t="s">
        <v>25</v>
      </c>
      <c r="W33" s="632">
        <f t="shared" si="14"/>
        <v>100</v>
      </c>
      <c r="X33" s="1304"/>
      <c r="Y33" s="3587"/>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587"/>
      <c r="Q34" s="1296" t="str">
        <f t="shared" si="11"/>
        <v>物业管理</v>
      </c>
      <c r="R34" s="627" t="s">
        <v>25</v>
      </c>
      <c r="S34" s="628">
        <f t="shared" si="12"/>
        <v>100</v>
      </c>
      <c r="T34" s="627" t="s">
        <v>25</v>
      </c>
      <c r="U34" s="628">
        <f t="shared" si="13"/>
        <v>100</v>
      </c>
      <c r="V34" s="627" t="s">
        <v>25</v>
      </c>
      <c r="W34" s="628">
        <f t="shared" si="14"/>
        <v>100</v>
      </c>
      <c r="X34" s="629"/>
      <c r="Y34" s="358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587" t="s">
        <v>2219</v>
      </c>
      <c r="Q35" s="1303" t="str">
        <f t="shared" si="11"/>
        <v>市政基础设施</v>
      </c>
      <c r="R35" s="631" t="s">
        <v>25</v>
      </c>
      <c r="S35" s="632">
        <f t="shared" si="12"/>
        <v>100</v>
      </c>
      <c r="T35" s="631" t="s">
        <v>25</v>
      </c>
      <c r="U35" s="632">
        <f t="shared" si="13"/>
        <v>100</v>
      </c>
      <c r="V35" s="631" t="s">
        <v>25</v>
      </c>
      <c r="W35" s="632">
        <f t="shared" si="14"/>
        <v>100</v>
      </c>
      <c r="X35" s="1304"/>
      <c r="Y35" s="3587"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587"/>
      <c r="Q36" s="1303" t="str">
        <f t="shared" si="11"/>
        <v>内部装修</v>
      </c>
      <c r="R36" s="631" t="s">
        <v>25</v>
      </c>
      <c r="S36" s="632">
        <f t="shared" si="12"/>
        <v>100</v>
      </c>
      <c r="T36" s="631" t="s">
        <v>25</v>
      </c>
      <c r="U36" s="632">
        <f t="shared" si="13"/>
        <v>100</v>
      </c>
      <c r="V36" s="631" t="s">
        <v>25</v>
      </c>
      <c r="W36" s="632">
        <f t="shared" si="14"/>
        <v>100</v>
      </c>
      <c r="X36" s="1304"/>
      <c r="Y36" s="3587"/>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587"/>
      <c r="Q37" s="1303" t="str">
        <f t="shared" si="11"/>
        <v>内部装修状况</v>
      </c>
      <c r="R37" s="631" t="s">
        <v>25</v>
      </c>
      <c r="S37" s="632">
        <f t="shared" si="12"/>
        <v>100</v>
      </c>
      <c r="T37" s="631" t="s">
        <v>25</v>
      </c>
      <c r="U37" s="632">
        <f t="shared" si="13"/>
        <v>100</v>
      </c>
      <c r="V37" s="631" t="s">
        <v>25</v>
      </c>
      <c r="W37" s="632">
        <f t="shared" si="14"/>
        <v>100</v>
      </c>
      <c r="X37" s="1304"/>
      <c r="Y37" s="3587"/>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587"/>
      <c r="Q38" s="633">
        <f t="shared" si="11"/>
        <v>111</v>
      </c>
      <c r="R38" s="634" t="s">
        <v>25</v>
      </c>
      <c r="S38" s="635">
        <f t="shared" si="12"/>
        <v>100</v>
      </c>
      <c r="T38" s="634" t="s">
        <v>25</v>
      </c>
      <c r="U38" s="635">
        <f t="shared" si="13"/>
        <v>100</v>
      </c>
      <c r="V38" s="634" t="s">
        <v>25</v>
      </c>
      <c r="W38" s="635">
        <f t="shared" si="14"/>
        <v>100</v>
      </c>
      <c r="X38" s="636"/>
      <c r="Y38" s="3587"/>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587"/>
      <c r="Q39" s="1303">
        <f t="shared" si="11"/>
        <v>111</v>
      </c>
      <c r="R39" s="631" t="s">
        <v>25</v>
      </c>
      <c r="S39" s="632">
        <f t="shared" si="12"/>
        <v>100</v>
      </c>
      <c r="T39" s="631" t="s">
        <v>25</v>
      </c>
      <c r="U39" s="632">
        <f t="shared" si="13"/>
        <v>100</v>
      </c>
      <c r="V39" s="631" t="s">
        <v>25</v>
      </c>
      <c r="W39" s="632">
        <f t="shared" si="14"/>
        <v>100</v>
      </c>
      <c r="X39" s="1304"/>
      <c r="Y39" s="3587"/>
      <c r="Z39" s="1305">
        <f t="shared" si="15"/>
        <v>111</v>
      </c>
      <c r="AA39" s="1306">
        <f t="shared" si="3"/>
        <v>1</v>
      </c>
      <c r="AB39" s="1306">
        <f t="shared" si="4"/>
        <v>1</v>
      </c>
      <c r="AC39" s="1306">
        <f t="shared" si="5"/>
        <v>1</v>
      </c>
    </row>
    <row r="40" spans="1:29" ht="15.6"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588"/>
      <c r="Q40" s="1303">
        <f t="shared" si="11"/>
        <v>111</v>
      </c>
      <c r="R40" s="631" t="s">
        <v>25</v>
      </c>
      <c r="S40" s="632">
        <f t="shared" si="12"/>
        <v>100</v>
      </c>
      <c r="T40" s="631" t="s">
        <v>25</v>
      </c>
      <c r="U40" s="632">
        <f t="shared" si="13"/>
        <v>100</v>
      </c>
      <c r="V40" s="631" t="s">
        <v>25</v>
      </c>
      <c r="W40" s="632">
        <f t="shared" si="14"/>
        <v>100</v>
      </c>
      <c r="X40" s="1304"/>
      <c r="Y40" s="3588"/>
      <c r="Z40" s="1305">
        <f t="shared" si="15"/>
        <v>111</v>
      </c>
      <c r="AA40" s="1306">
        <f t="shared" si="3"/>
        <v>1</v>
      </c>
      <c r="AB40" s="1306">
        <f t="shared" si="4"/>
        <v>1</v>
      </c>
      <c r="AC40" s="1306">
        <f t="shared" si="5"/>
        <v>1</v>
      </c>
    </row>
    <row r="41" spans="1:29" ht="14.4">
      <c r="A41" s="367" t="s">
        <v>2231</v>
      </c>
      <c r="B41" s="368"/>
      <c r="C41" s="1123" t="s">
        <v>1</v>
      </c>
      <c r="D41" s="1124"/>
      <c r="E41" s="1125">
        <v>31000</v>
      </c>
      <c r="F41" s="1126"/>
      <c r="G41" s="1127">
        <v>30000</v>
      </c>
      <c r="H41" s="1128"/>
      <c r="I41" s="1125">
        <v>30000</v>
      </c>
      <c r="J41" s="1128"/>
      <c r="K41" s="640"/>
      <c r="L41" s="3004"/>
      <c r="N41" s="2993"/>
      <c r="P41" s="3581" t="str">
        <f>A41</f>
        <v>成交单价（元/平方米）</v>
      </c>
      <c r="Q41" s="3581"/>
      <c r="R41" s="3582">
        <f>E41</f>
        <v>31000</v>
      </c>
      <c r="S41" s="3582"/>
      <c r="T41" s="3582">
        <f>G41</f>
        <v>30000</v>
      </c>
      <c r="U41" s="3582"/>
      <c r="V41" s="3582">
        <f>I41</f>
        <v>30000</v>
      </c>
      <c r="W41" s="3582"/>
      <c r="X41" s="618"/>
      <c r="Y41" s="638"/>
      <c r="Z41" s="618"/>
      <c r="AA41" s="618"/>
      <c r="AB41" s="618"/>
      <c r="AC41" s="618"/>
    </row>
    <row r="42" spans="1:29" ht="15" thickBot="1">
      <c r="A42" s="374" t="s">
        <v>2314</v>
      </c>
      <c r="B42" s="375"/>
      <c r="C42" s="1129">
        <f>R43</f>
        <v>30341</v>
      </c>
      <c r="D42" s="1766" t="s">
        <v>2687</v>
      </c>
      <c r="E42" s="1130">
        <f>R42</f>
        <v>31000</v>
      </c>
      <c r="F42" s="1768"/>
      <c r="G42" s="1129">
        <f>T42</f>
        <v>30612</v>
      </c>
      <c r="H42" s="1768"/>
      <c r="I42" s="1130">
        <f>V42</f>
        <v>29412</v>
      </c>
      <c r="J42" s="1768"/>
      <c r="K42" s="2480">
        <f>F42+H42+J42</f>
        <v>0</v>
      </c>
      <c r="L42" s="3004"/>
      <c r="N42" s="2993"/>
      <c r="P42" s="3581" t="str">
        <f>A42</f>
        <v>比较价值（元/平方米）</v>
      </c>
      <c r="Q42" s="3581"/>
      <c r="R42" s="3582">
        <f>IF(E1="售价",ROUND(PRODUCT(R41,AA7:AA40),0),ROUND(PRODUCT(R41,AA7:AA40),1))</f>
        <v>31000</v>
      </c>
      <c r="S42" s="3582"/>
      <c r="T42" s="3582">
        <f>IF(E1="售价",ROUND(PRODUCT(T41,AB7:AB40),0),ROUND(PRODUCT(T41,AB7:AB40),1))</f>
        <v>30612</v>
      </c>
      <c r="U42" s="3582"/>
      <c r="V42" s="3582">
        <f>IF(E1="售价",ROUND(PRODUCT(V41,AC7:AC40),0),ROUND(PRODUCT(V41,AC7:AC40),1))</f>
        <v>29412</v>
      </c>
      <c r="W42" s="3582"/>
      <c r="X42" s="618"/>
      <c r="Y42" s="618"/>
      <c r="Z42" s="618"/>
      <c r="AA42" s="618"/>
      <c r="AB42" s="618"/>
      <c r="AC42" s="618"/>
    </row>
    <row r="43" spans="1:29" ht="15" thickBot="1">
      <c r="A43" s="378" t="s">
        <v>2337</v>
      </c>
      <c r="B43" s="379"/>
      <c r="C43" s="1131">
        <f>R43</f>
        <v>30341</v>
      </c>
      <c r="D43" s="1131"/>
      <c r="E43" s="1131"/>
      <c r="F43" s="1131"/>
      <c r="G43" s="1131"/>
      <c r="H43" s="1131"/>
      <c r="I43" s="1131"/>
      <c r="J43" s="1131"/>
      <c r="K43" s="641"/>
      <c r="L43" s="3004"/>
      <c r="P43" s="3583" t="str">
        <f>A43</f>
        <v>估价对象XX用房的比较价值（楼面单价，元/平方米）</v>
      </c>
      <c r="Q43" s="3584"/>
      <c r="R43" s="3585">
        <f>IF(E1="售价",ROUND(IF(D42="简单平均",AVERAGE(R42:V42),R42*F42+T42*H42+V42*J42),0),ROUND(IF(D42="简单平均",AVERAGE(R42:V42),R42*F42+T42*H42+V42*J42),1))</f>
        <v>30341</v>
      </c>
      <c r="S43" s="3585"/>
      <c r="T43" s="3585"/>
      <c r="U43" s="3585"/>
      <c r="V43" s="3585"/>
      <c r="W43" s="3585"/>
      <c r="X43" s="618"/>
      <c r="Y43" s="618"/>
      <c r="Z43" s="618"/>
      <c r="AA43" s="618"/>
      <c r="AB43" s="618"/>
      <c r="AC43" s="618"/>
    </row>
    <row r="44" spans="1:29">
      <c r="G44" s="3007"/>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08"/>
      <c r="L48" s="3005"/>
    </row>
    <row r="49" spans="1:17" s="388" customFormat="1">
      <c r="B49" s="3006"/>
      <c r="C49" s="3009"/>
      <c r="K49" s="3008"/>
      <c r="L49" s="3005"/>
    </row>
    <row r="50" spans="1:17">
      <c r="B50" s="3006"/>
      <c r="C50" s="3009"/>
    </row>
    <row r="51" spans="1:17" ht="22.2" thickBot="1">
      <c r="A51" s="620" t="s">
        <v>2319</v>
      </c>
      <c r="B51" s="618"/>
      <c r="C51" s="621"/>
      <c r="D51" s="621"/>
      <c r="E51" s="621"/>
      <c r="F51" s="622"/>
      <c r="G51" s="622"/>
      <c r="H51" s="621"/>
      <c r="I51" s="621"/>
      <c r="J51" s="621"/>
      <c r="K51" s="623"/>
      <c r="L51" s="624"/>
      <c r="M51" s="621"/>
      <c r="N51" s="3010"/>
      <c r="O51" s="3010"/>
      <c r="P51" s="389"/>
      <c r="Q51" s="390"/>
    </row>
    <row r="52" spans="1:17" s="394" customFormat="1" ht="14.4">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v>0</v>
      </c>
      <c r="D62" s="436">
        <v>1</v>
      </c>
      <c r="E62" s="436">
        <v>2</v>
      </c>
      <c r="F62" s="436">
        <v>3</v>
      </c>
      <c r="G62" s="436">
        <v>4</v>
      </c>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1"/>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4.4"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1" sqref="N41"/>
    </sheetView>
  </sheetViews>
  <sheetFormatPr defaultColWidth="9" defaultRowHeight="13.8"/>
  <cols>
    <col min="1" max="1" width="10.44140625" style="1636" customWidth="1"/>
    <col min="2" max="2" width="15.77734375" style="1636" customWidth="1"/>
    <col min="3" max="3" width="17.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2326</v>
      </c>
      <c r="C1" s="1608" t="s">
        <v>3014</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2044"/>
      <c r="Y4" s="3633" t="s">
        <v>2194</v>
      </c>
      <c r="Z4" s="3634"/>
      <c r="AA4" s="3642" t="s">
        <v>2190</v>
      </c>
      <c r="AB4" s="3642" t="s">
        <v>2191</v>
      </c>
      <c r="AC4" s="3642" t="s">
        <v>2192</v>
      </c>
    </row>
    <row r="5" spans="1:29">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2044"/>
      <c r="Y5" s="3635"/>
      <c r="Z5" s="3636"/>
      <c r="AA5" s="3643"/>
      <c r="AB5" s="3643"/>
      <c r="AC5" s="3643"/>
    </row>
    <row r="6" spans="1:29"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2044"/>
      <c r="Y6" s="3637"/>
      <c r="Z6" s="3638"/>
      <c r="AA6" s="3644"/>
      <c r="AB6" s="3644"/>
      <c r="AC6" s="3644"/>
    </row>
    <row r="7" spans="1:29" s="1654" customFormat="1" ht="1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4"/>
      <c r="M7" s="2937"/>
      <c r="N7" s="2937"/>
      <c r="O7" s="2937"/>
      <c r="P7" s="3631" t="s">
        <v>2202</v>
      </c>
      <c r="Q7" s="3639"/>
      <c r="R7" s="1650" t="s">
        <v>25</v>
      </c>
      <c r="S7" s="1651">
        <f t="shared" ref="S7:S15" si="0">F7</f>
        <v>100</v>
      </c>
      <c r="T7" s="1650" t="s">
        <v>25</v>
      </c>
      <c r="U7" s="1651">
        <f t="shared" ref="U7:U15" si="1">H7</f>
        <v>100</v>
      </c>
      <c r="V7" s="1650" t="s">
        <v>25</v>
      </c>
      <c r="W7" s="1651">
        <f t="shared" ref="W7:W15" si="2">J7</f>
        <v>100</v>
      </c>
      <c r="X7" s="1652"/>
      <c r="Y7" s="3631" t="s">
        <v>2202</v>
      </c>
      <c r="Z7" s="3632"/>
      <c r="AA7" s="1653">
        <f>D7/F7</f>
        <v>1</v>
      </c>
      <c r="AB7" s="1653">
        <f>D7/H7</f>
        <v>1</v>
      </c>
      <c r="AC7" s="1653">
        <f>D7/J7</f>
        <v>1</v>
      </c>
    </row>
    <row r="8" spans="1:29" s="1654" customFormat="1" ht="15" thickBot="1">
      <c r="A8" s="1642" t="s">
        <v>2203</v>
      </c>
      <c r="B8" s="1643"/>
      <c r="C8" s="1655" t="s">
        <v>2204</v>
      </c>
      <c r="D8" s="1645">
        <v>100</v>
      </c>
      <c r="E8" s="3314" t="s">
        <v>3005</v>
      </c>
      <c r="F8" s="1647">
        <f>SUMIF(62:62,E8,63:63)-SUMIF(62:62,C8,63:63)+100</f>
        <v>100</v>
      </c>
      <c r="G8" s="3314" t="s">
        <v>3005</v>
      </c>
      <c r="H8" s="1645">
        <f>SUMIF(62:62,G8,63:63)-SUMIF(62:62,C8,63:63)+100</f>
        <v>100</v>
      </c>
      <c r="I8" s="3314" t="s">
        <v>3005</v>
      </c>
      <c r="J8" s="1645">
        <f>SUMIF(62:62,I8,63:63)-SUMIF(62:62,C8,63:63)+100</f>
        <v>100</v>
      </c>
      <c r="K8" s="1937"/>
      <c r="L8" s="2964"/>
      <c r="M8" s="2937"/>
      <c r="N8" s="2937"/>
      <c r="O8" s="2937"/>
      <c r="P8" s="3631" t="s">
        <v>2205</v>
      </c>
      <c r="Q8" s="3632"/>
      <c r="R8" s="1650" t="s">
        <v>25</v>
      </c>
      <c r="S8" s="1651">
        <f t="shared" si="0"/>
        <v>100</v>
      </c>
      <c r="T8" s="1650" t="s">
        <v>25</v>
      </c>
      <c r="U8" s="1651">
        <f t="shared" si="1"/>
        <v>100</v>
      </c>
      <c r="V8" s="1650" t="s">
        <v>25</v>
      </c>
      <c r="W8" s="1651">
        <f t="shared" si="2"/>
        <v>100</v>
      </c>
      <c r="X8" s="1652"/>
      <c r="Y8" s="3631" t="s">
        <v>2205</v>
      </c>
      <c r="Z8" s="3632"/>
      <c r="AA8" s="1653">
        <f t="shared" ref="AA8:AA47" si="3">D8/F8</f>
        <v>1</v>
      </c>
      <c r="AB8" s="1653">
        <f t="shared" ref="AB8:AB47" si="4">D8/H8</f>
        <v>1</v>
      </c>
      <c r="AC8" s="1653">
        <f t="shared" ref="AC8:AC47" si="5">D8/J8</f>
        <v>1</v>
      </c>
    </row>
    <row r="9" spans="1:29" s="1654" customFormat="1" ht="14.4">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623" t="s">
        <v>2208</v>
      </c>
      <c r="Q9" s="2882"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623"/>
      <c r="Q10" s="2882"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8"/>
      <c r="M11" s="2965"/>
      <c r="N11" s="2965"/>
      <c r="O11" s="2965"/>
      <c r="P11" s="3623"/>
      <c r="Q11" s="2882" t="str">
        <f t="shared" si="6"/>
        <v>容积率</v>
      </c>
      <c r="R11" s="1650" t="s">
        <v>25</v>
      </c>
      <c r="S11" s="1651">
        <f t="shared" si="0"/>
        <v>100</v>
      </c>
      <c r="T11" s="1650" t="s">
        <v>25</v>
      </c>
      <c r="U11" s="1651">
        <f t="shared" si="1"/>
        <v>100</v>
      </c>
      <c r="V11" s="1650" t="s">
        <v>25</v>
      </c>
      <c r="W11" s="1651">
        <f t="shared" si="2"/>
        <v>100</v>
      </c>
      <c r="X11" s="1652"/>
      <c r="Y11" s="3449"/>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623"/>
      <c r="Q12" s="2882">
        <f t="shared" si="6"/>
        <v>111</v>
      </c>
      <c r="R12" s="1650" t="s">
        <v>25</v>
      </c>
      <c r="S12" s="1651">
        <f t="shared" si="0"/>
        <v>100</v>
      </c>
      <c r="T12" s="1650" t="s">
        <v>25</v>
      </c>
      <c r="U12" s="1651">
        <f t="shared" si="1"/>
        <v>100</v>
      </c>
      <c r="V12" s="1650" t="s">
        <v>25</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623"/>
      <c r="Q13" s="2882">
        <f t="shared" si="6"/>
        <v>111</v>
      </c>
      <c r="R13" s="1650" t="s">
        <v>25</v>
      </c>
      <c r="S13" s="1651">
        <f t="shared" si="0"/>
        <v>100</v>
      </c>
      <c r="T13" s="1650" t="s">
        <v>25</v>
      </c>
      <c r="U13" s="1651">
        <f t="shared" si="1"/>
        <v>100</v>
      </c>
      <c r="V13" s="1650" t="s">
        <v>25</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623"/>
      <c r="Q14" s="2882">
        <f t="shared" si="6"/>
        <v>111</v>
      </c>
      <c r="R14" s="1650" t="s">
        <v>25</v>
      </c>
      <c r="S14" s="1651">
        <f t="shared" si="0"/>
        <v>100</v>
      </c>
      <c r="T14" s="1650" t="s">
        <v>25</v>
      </c>
      <c r="U14" s="1651">
        <f t="shared" si="1"/>
        <v>100</v>
      </c>
      <c r="V14" s="1650" t="s">
        <v>25</v>
      </c>
      <c r="W14" s="1651">
        <f t="shared" si="2"/>
        <v>100</v>
      </c>
      <c r="X14" s="1652"/>
      <c r="Y14" s="3449"/>
      <c r="Z14" s="1663">
        <f t="shared" si="7"/>
        <v>111</v>
      </c>
      <c r="AA14" s="1653">
        <f t="shared" si="3"/>
        <v>1</v>
      </c>
      <c r="AB14" s="1653">
        <f t="shared" si="4"/>
        <v>1</v>
      </c>
      <c r="AC14" s="1653">
        <f t="shared" si="5"/>
        <v>1</v>
      </c>
    </row>
    <row r="15" spans="1:29" ht="69">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640" t="s">
        <v>2213</v>
      </c>
      <c r="Q15" s="2883" t="str">
        <f t="shared" si="6"/>
        <v>办公集聚程度</v>
      </c>
      <c r="R15" s="1695" t="s">
        <v>25</v>
      </c>
      <c r="S15" s="1696">
        <f t="shared" si="0"/>
        <v>100</v>
      </c>
      <c r="T15" s="1695" t="s">
        <v>25</v>
      </c>
      <c r="U15" s="1696">
        <f t="shared" si="1"/>
        <v>100</v>
      </c>
      <c r="V15" s="1695" t="s">
        <v>25</v>
      </c>
      <c r="W15" s="1696">
        <f t="shared" si="2"/>
        <v>100</v>
      </c>
      <c r="X15" s="2044"/>
      <c r="Y15" s="3640"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641"/>
      <c r="Q16" s="2883"/>
      <c r="R16" s="1695"/>
      <c r="S16" s="1696"/>
      <c r="T16" s="1695"/>
      <c r="U16" s="1696"/>
      <c r="V16" s="1695"/>
      <c r="W16" s="1696"/>
      <c r="X16" s="2044"/>
      <c r="Y16" s="3641"/>
      <c r="Z16" s="2048"/>
      <c r="AA16" s="2039">
        <v>1</v>
      </c>
      <c r="AB16" s="2039">
        <v>1</v>
      </c>
      <c r="AC16" s="2039">
        <v>1</v>
      </c>
    </row>
    <row r="17" spans="1:29" ht="69">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641"/>
      <c r="Q17" s="2883" t="str">
        <f>B17</f>
        <v>交通便捷度</v>
      </c>
      <c r="R17" s="1695" t="s">
        <v>25</v>
      </c>
      <c r="S17" s="1696">
        <f>F17</f>
        <v>100</v>
      </c>
      <c r="T17" s="1695" t="s">
        <v>25</v>
      </c>
      <c r="U17" s="1696">
        <f>H17</f>
        <v>100</v>
      </c>
      <c r="V17" s="1695" t="s">
        <v>25</v>
      </c>
      <c r="W17" s="1696">
        <f>J17</f>
        <v>100</v>
      </c>
      <c r="X17" s="2044"/>
      <c r="Y17" s="3641"/>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641"/>
      <c r="Q18" s="2883"/>
      <c r="R18" s="1695"/>
      <c r="S18" s="1696"/>
      <c r="T18" s="1695"/>
      <c r="U18" s="1696"/>
      <c r="V18" s="1695"/>
      <c r="W18" s="1696"/>
      <c r="X18" s="2044"/>
      <c r="Y18" s="3641"/>
      <c r="Z18" s="2048"/>
      <c r="AA18" s="2039">
        <v>1</v>
      </c>
      <c r="AB18" s="2039">
        <v>1</v>
      </c>
      <c r="AC18" s="2039">
        <v>1</v>
      </c>
    </row>
    <row r="19" spans="1:29" ht="41.4">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641"/>
      <c r="Q19" s="2883" t="str">
        <f>B19</f>
        <v>公共配套设施</v>
      </c>
      <c r="R19" s="1695" t="s">
        <v>25</v>
      </c>
      <c r="S19" s="1696">
        <f>F19</f>
        <v>100</v>
      </c>
      <c r="T19" s="1695" t="s">
        <v>25</v>
      </c>
      <c r="U19" s="1696">
        <f>H19</f>
        <v>100</v>
      </c>
      <c r="V19" s="1695" t="s">
        <v>25</v>
      </c>
      <c r="W19" s="1696">
        <f>J19</f>
        <v>100</v>
      </c>
      <c r="X19" s="2044"/>
      <c r="Y19" s="3641"/>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641"/>
      <c r="Q20" s="2883"/>
      <c r="R20" s="1695"/>
      <c r="S20" s="1696"/>
      <c r="T20" s="1695"/>
      <c r="U20" s="1696"/>
      <c r="V20" s="1695"/>
      <c r="W20" s="1696"/>
      <c r="X20" s="2044"/>
      <c r="Y20" s="3641"/>
      <c r="Z20" s="2048"/>
      <c r="AA20" s="2039">
        <v>1</v>
      </c>
      <c r="AB20" s="2039">
        <v>1</v>
      </c>
      <c r="AC20" s="2039">
        <v>1</v>
      </c>
    </row>
    <row r="21" spans="1:29" ht="27.6">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641"/>
      <c r="Q21" s="2883" t="str">
        <f>B21</f>
        <v>基础设施水平</v>
      </c>
      <c r="R21" s="1695" t="s">
        <v>25</v>
      </c>
      <c r="S21" s="1696">
        <f>F21</f>
        <v>100</v>
      </c>
      <c r="T21" s="1695" t="s">
        <v>25</v>
      </c>
      <c r="U21" s="1696">
        <f>H21</f>
        <v>100</v>
      </c>
      <c r="V21" s="1695" t="s">
        <v>25</v>
      </c>
      <c r="W21" s="1696">
        <f>J21</f>
        <v>100</v>
      </c>
      <c r="X21" s="2044"/>
      <c r="Y21" s="3641"/>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641"/>
      <c r="Q22" s="2883"/>
      <c r="R22" s="1695"/>
      <c r="S22" s="1696"/>
      <c r="T22" s="1695"/>
      <c r="U22" s="1696"/>
      <c r="V22" s="1695"/>
      <c r="W22" s="1696"/>
      <c r="X22" s="2044"/>
      <c r="Y22" s="3641"/>
      <c r="Z22" s="2048"/>
      <c r="AA22" s="2039">
        <v>1</v>
      </c>
      <c r="AB22" s="2039">
        <v>1</v>
      </c>
      <c r="AC22" s="2039">
        <v>1</v>
      </c>
    </row>
    <row r="23" spans="1:29" ht="41.4">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641"/>
      <c r="Q23" s="2883" t="str">
        <f>B23</f>
        <v>环境质量</v>
      </c>
      <c r="R23" s="1695" t="s">
        <v>25</v>
      </c>
      <c r="S23" s="1696">
        <f>F23</f>
        <v>100</v>
      </c>
      <c r="T23" s="1695" t="s">
        <v>25</v>
      </c>
      <c r="U23" s="1696">
        <f>H23</f>
        <v>100</v>
      </c>
      <c r="V23" s="1695" t="s">
        <v>25</v>
      </c>
      <c r="W23" s="1696">
        <f>J23</f>
        <v>100</v>
      </c>
      <c r="X23" s="2044"/>
      <c r="Y23" s="3641"/>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641"/>
      <c r="Q24" s="2883"/>
      <c r="R24" s="1695"/>
      <c r="S24" s="1696"/>
      <c r="T24" s="1695"/>
      <c r="U24" s="1696"/>
      <c r="V24" s="1695"/>
      <c r="W24" s="1696"/>
      <c r="X24" s="2044"/>
      <c r="Y24" s="3641"/>
      <c r="Z24" s="2048"/>
      <c r="AA24" s="2039">
        <v>1</v>
      </c>
      <c r="AB24" s="2039">
        <v>1</v>
      </c>
      <c r="AC24" s="2039">
        <v>1</v>
      </c>
    </row>
    <row r="25" spans="1:29" ht="28.8">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641"/>
      <c r="Q25" s="2883" t="str">
        <f>B25</f>
        <v>毗邻道路的类型与等级</v>
      </c>
      <c r="R25" s="1695" t="s">
        <v>25</v>
      </c>
      <c r="S25" s="1696">
        <f>F25</f>
        <v>100</v>
      </c>
      <c r="T25" s="1695" t="s">
        <v>25</v>
      </c>
      <c r="U25" s="1696">
        <f>H25</f>
        <v>100</v>
      </c>
      <c r="V25" s="1695" t="s">
        <v>25</v>
      </c>
      <c r="W25" s="1696">
        <f>J25</f>
        <v>100</v>
      </c>
      <c r="X25" s="2044"/>
      <c r="Y25" s="3641"/>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641"/>
      <c r="Q26" s="2883"/>
      <c r="R26" s="1695"/>
      <c r="S26" s="1696"/>
      <c r="T26" s="1695"/>
      <c r="U26" s="1696"/>
      <c r="V26" s="1695"/>
      <c r="W26" s="1696"/>
      <c r="X26" s="2044"/>
      <c r="Y26" s="3641"/>
      <c r="Z26" s="2048"/>
      <c r="AA26" s="2039">
        <v>1</v>
      </c>
      <c r="AB26" s="2039">
        <v>1</v>
      </c>
      <c r="AC26" s="2039">
        <v>1</v>
      </c>
    </row>
    <row r="27" spans="1:29" ht="15">
      <c r="A27" s="1672"/>
      <c r="B27" s="2465" t="s">
        <v>2304</v>
      </c>
      <c r="C27" s="3316" t="s">
        <v>3019</v>
      </c>
      <c r="D27" s="1681">
        <v>100</v>
      </c>
      <c r="E27" s="3315" t="s">
        <v>3019</v>
      </c>
      <c r="F27" s="1681">
        <f>SUMIF(89:89,E27,90:90)-SUMIF(89:89,C27,90:90)+100</f>
        <v>100</v>
      </c>
      <c r="G27" s="3316" t="s">
        <v>3007</v>
      </c>
      <c r="H27" s="1681">
        <f>SUMIF(89:89,G27,90:90)-SUMIF(89:89,C27,90:90)+100</f>
        <v>100</v>
      </c>
      <c r="I27" s="3315" t="s">
        <v>3007</v>
      </c>
      <c r="J27" s="1681">
        <f>SUMIF(89:89,I27,90:90)-SUMIF(89:89,C27,90:90)+100</f>
        <v>100</v>
      </c>
      <c r="K27" s="1962">
        <v>3</v>
      </c>
      <c r="L27" s="2969"/>
      <c r="M27" s="2965"/>
      <c r="N27" s="2965"/>
      <c r="O27" s="2965"/>
      <c r="P27" s="3641"/>
      <c r="Q27" s="2883" t="str">
        <f t="shared" ref="Q27:Q47" si="11">B27</f>
        <v>楼层</v>
      </c>
      <c r="R27" s="1695" t="s">
        <v>25</v>
      </c>
      <c r="S27" s="1696">
        <f>F27</f>
        <v>100</v>
      </c>
      <c r="T27" s="1695" t="s">
        <v>25</v>
      </c>
      <c r="U27" s="1696">
        <f>H27</f>
        <v>100</v>
      </c>
      <c r="V27" s="1695" t="s">
        <v>25</v>
      </c>
      <c r="W27" s="1696">
        <f>J27</f>
        <v>100</v>
      </c>
      <c r="X27" s="2044"/>
      <c r="Y27" s="3641"/>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641"/>
      <c r="Q28" s="2882" t="str">
        <f t="shared" si="11"/>
        <v>朝向</v>
      </c>
      <c r="R28" s="1650" t="s">
        <v>25</v>
      </c>
      <c r="S28" s="1651">
        <f>F28</f>
        <v>100</v>
      </c>
      <c r="T28" s="1650" t="s">
        <v>25</v>
      </c>
      <c r="U28" s="1651">
        <f>H28</f>
        <v>100</v>
      </c>
      <c r="V28" s="1650" t="s">
        <v>25</v>
      </c>
      <c r="W28" s="1651">
        <f>J28</f>
        <v>100</v>
      </c>
      <c r="X28" s="1652"/>
      <c r="Y28" s="3641"/>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641"/>
      <c r="Q29" s="2883">
        <f t="shared" si="11"/>
        <v>111</v>
      </c>
      <c r="R29" s="1695" t="s">
        <v>25</v>
      </c>
      <c r="S29" s="1696">
        <f t="shared" ref="S29:S47" si="12">F29</f>
        <v>100</v>
      </c>
      <c r="T29" s="1695" t="s">
        <v>25</v>
      </c>
      <c r="U29" s="1696">
        <f t="shared" ref="U29:U47" si="13">H29</f>
        <v>100</v>
      </c>
      <c r="V29" s="1695" t="s">
        <v>25</v>
      </c>
      <c r="W29" s="1696">
        <f t="shared" ref="W29:W47" si="14">J29</f>
        <v>100</v>
      </c>
      <c r="X29" s="2044"/>
      <c r="Y29" s="3641"/>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641"/>
      <c r="Q30" s="2883">
        <f t="shared" si="11"/>
        <v>111</v>
      </c>
      <c r="R30" s="1695" t="s">
        <v>25</v>
      </c>
      <c r="S30" s="1696">
        <f t="shared" si="12"/>
        <v>100</v>
      </c>
      <c r="T30" s="1695" t="s">
        <v>25</v>
      </c>
      <c r="U30" s="1696">
        <f t="shared" si="13"/>
        <v>100</v>
      </c>
      <c r="V30" s="1695" t="s">
        <v>25</v>
      </c>
      <c r="W30" s="1696">
        <f t="shared" si="14"/>
        <v>100</v>
      </c>
      <c r="X30" s="2044"/>
      <c r="Y30" s="3641"/>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641"/>
      <c r="Q31" s="2883">
        <f t="shared" si="11"/>
        <v>111</v>
      </c>
      <c r="R31" s="1695" t="s">
        <v>25</v>
      </c>
      <c r="S31" s="1696">
        <f t="shared" si="12"/>
        <v>100</v>
      </c>
      <c r="T31" s="1695" t="s">
        <v>25</v>
      </c>
      <c r="U31" s="1696">
        <f t="shared" si="13"/>
        <v>100</v>
      </c>
      <c r="V31" s="1695" t="s">
        <v>25</v>
      </c>
      <c r="W31" s="1696">
        <f t="shared" si="14"/>
        <v>100</v>
      </c>
      <c r="X31" s="2044"/>
      <c r="Y31" s="3641"/>
      <c r="Z31" s="2048">
        <f t="shared" si="15"/>
        <v>111</v>
      </c>
      <c r="AA31" s="2039">
        <f t="shared" si="3"/>
        <v>1</v>
      </c>
      <c r="AB31" s="2039">
        <f t="shared" si="4"/>
        <v>1</v>
      </c>
      <c r="AC31" s="2039">
        <f t="shared" si="5"/>
        <v>1</v>
      </c>
    </row>
    <row r="32" spans="1:29" ht="15.6"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641"/>
      <c r="Q32" s="2883">
        <f t="shared" si="11"/>
        <v>111</v>
      </c>
      <c r="R32" s="1695" t="s">
        <v>25</v>
      </c>
      <c r="S32" s="1696">
        <f t="shared" si="12"/>
        <v>100</v>
      </c>
      <c r="T32" s="1695" t="s">
        <v>25</v>
      </c>
      <c r="U32" s="1696">
        <f t="shared" si="13"/>
        <v>100</v>
      </c>
      <c r="V32" s="1695" t="s">
        <v>25</v>
      </c>
      <c r="W32" s="1696">
        <f t="shared" si="14"/>
        <v>100</v>
      </c>
      <c r="X32" s="2044"/>
      <c r="Y32" s="3641"/>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28" t="s">
        <v>2219</v>
      </c>
      <c r="Q33" s="2883" t="str">
        <f t="shared" si="11"/>
        <v>建筑类型</v>
      </c>
      <c r="R33" s="1695" t="s">
        <v>25</v>
      </c>
      <c r="S33" s="1696">
        <f t="shared" si="12"/>
        <v>100</v>
      </c>
      <c r="T33" s="1695" t="s">
        <v>25</v>
      </c>
      <c r="U33" s="1696">
        <f t="shared" si="13"/>
        <v>100</v>
      </c>
      <c r="V33" s="1695" t="s">
        <v>25</v>
      </c>
      <c r="W33" s="1696">
        <f t="shared" si="14"/>
        <v>100</v>
      </c>
      <c r="X33" s="2044"/>
      <c r="Y33" s="3629"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68"/>
      <c r="M34" s="2029"/>
      <c r="N34" s="2029"/>
      <c r="O34" s="2029"/>
      <c r="P34" s="3629"/>
      <c r="Q34" s="1736" t="str">
        <f t="shared" si="11"/>
        <v>项目建筑规模</v>
      </c>
      <c r="R34" s="1737" t="s">
        <v>25</v>
      </c>
      <c r="S34" s="1738">
        <f t="shared" si="12"/>
        <v>102</v>
      </c>
      <c r="T34" s="1737" t="s">
        <v>25</v>
      </c>
      <c r="U34" s="1738">
        <f t="shared" si="13"/>
        <v>98</v>
      </c>
      <c r="V34" s="1737" t="s">
        <v>25</v>
      </c>
      <c r="W34" s="1738">
        <f t="shared" si="14"/>
        <v>100</v>
      </c>
      <c r="X34" s="1739"/>
      <c r="Y34" s="3629"/>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629"/>
      <c r="Q35" s="2883" t="str">
        <f t="shared" si="11"/>
        <v>建筑结构</v>
      </c>
      <c r="R35" s="1695" t="s">
        <v>25</v>
      </c>
      <c r="S35" s="1696">
        <f t="shared" si="12"/>
        <v>100</v>
      </c>
      <c r="T35" s="1695" t="s">
        <v>25</v>
      </c>
      <c r="U35" s="1696">
        <f t="shared" si="13"/>
        <v>100</v>
      </c>
      <c r="V35" s="1695" t="s">
        <v>25</v>
      </c>
      <c r="W35" s="1696">
        <f t="shared" si="14"/>
        <v>100</v>
      </c>
      <c r="X35" s="2044"/>
      <c r="Y35" s="3629"/>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629"/>
      <c r="Q36" s="2883" t="str">
        <f t="shared" si="11"/>
        <v>公共部分装修</v>
      </c>
      <c r="R36" s="1695" t="s">
        <v>25</v>
      </c>
      <c r="S36" s="1696">
        <f t="shared" si="12"/>
        <v>100</v>
      </c>
      <c r="T36" s="1695" t="s">
        <v>25</v>
      </c>
      <c r="U36" s="1696">
        <f t="shared" si="13"/>
        <v>100</v>
      </c>
      <c r="V36" s="1695" t="s">
        <v>25</v>
      </c>
      <c r="W36" s="1696">
        <f t="shared" si="14"/>
        <v>100</v>
      </c>
      <c r="X36" s="2044"/>
      <c r="Y36" s="3629"/>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69"/>
      <c r="M37" s="2965"/>
      <c r="N37" s="2965"/>
      <c r="O37" s="2965"/>
      <c r="P37" s="3629"/>
      <c r="Q37" s="2883" t="str">
        <f t="shared" si="11"/>
        <v>成新度</v>
      </c>
      <c r="R37" s="1695" t="s">
        <v>25</v>
      </c>
      <c r="S37" s="1696">
        <f t="shared" si="12"/>
        <v>100</v>
      </c>
      <c r="T37" s="1695" t="s">
        <v>25</v>
      </c>
      <c r="U37" s="1696">
        <f t="shared" si="13"/>
        <v>100</v>
      </c>
      <c r="V37" s="1695" t="s">
        <v>25</v>
      </c>
      <c r="W37" s="1696">
        <f t="shared" si="14"/>
        <v>100</v>
      </c>
      <c r="X37" s="2044"/>
      <c r="Y37" s="3629"/>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629"/>
      <c r="Q38" s="2882" t="str">
        <f t="shared" si="11"/>
        <v>写字楼等级</v>
      </c>
      <c r="R38" s="1650" t="s">
        <v>25</v>
      </c>
      <c r="S38" s="1651">
        <f t="shared" si="12"/>
        <v>100</v>
      </c>
      <c r="T38" s="1650" t="s">
        <v>25</v>
      </c>
      <c r="U38" s="1651">
        <f t="shared" si="13"/>
        <v>100</v>
      </c>
      <c r="V38" s="1650" t="s">
        <v>25</v>
      </c>
      <c r="W38" s="1651">
        <f t="shared" si="14"/>
        <v>100</v>
      </c>
      <c r="X38" s="1652"/>
      <c r="Y38" s="3629"/>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629" t="s">
        <v>2219</v>
      </c>
      <c r="Q39" s="2883" t="str">
        <f t="shared" si="11"/>
        <v>物业管理</v>
      </c>
      <c r="R39" s="1695" t="s">
        <v>25</v>
      </c>
      <c r="S39" s="1696">
        <f t="shared" si="12"/>
        <v>100</v>
      </c>
      <c r="T39" s="1695" t="s">
        <v>25</v>
      </c>
      <c r="U39" s="1696">
        <f t="shared" si="13"/>
        <v>100</v>
      </c>
      <c r="V39" s="1695" t="s">
        <v>25</v>
      </c>
      <c r="W39" s="1696">
        <f t="shared" si="14"/>
        <v>100</v>
      </c>
      <c r="X39" s="2044"/>
      <c r="Y39" s="3629"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629"/>
      <c r="Q40" s="2883" t="str">
        <f t="shared" si="11"/>
        <v>市政基础设施</v>
      </c>
      <c r="R40" s="1695" t="s">
        <v>25</v>
      </c>
      <c r="S40" s="1696">
        <f t="shared" si="12"/>
        <v>100</v>
      </c>
      <c r="T40" s="1695" t="s">
        <v>25</v>
      </c>
      <c r="U40" s="1696">
        <f t="shared" si="13"/>
        <v>100</v>
      </c>
      <c r="V40" s="1695" t="s">
        <v>25</v>
      </c>
      <c r="W40" s="1696">
        <f t="shared" si="14"/>
        <v>100</v>
      </c>
      <c r="X40" s="2044"/>
      <c r="Y40" s="3629"/>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629"/>
      <c r="Q41" s="2883" t="str">
        <f t="shared" si="11"/>
        <v>层高</v>
      </c>
      <c r="R41" s="1695" t="s">
        <v>25</v>
      </c>
      <c r="S41" s="1696">
        <f t="shared" si="12"/>
        <v>100</v>
      </c>
      <c r="T41" s="1695" t="s">
        <v>25</v>
      </c>
      <c r="U41" s="1696">
        <f t="shared" si="13"/>
        <v>100</v>
      </c>
      <c r="V41" s="1695" t="s">
        <v>25</v>
      </c>
      <c r="W41" s="1696">
        <f t="shared" si="14"/>
        <v>100</v>
      </c>
      <c r="X41" s="2044"/>
      <c r="Y41" s="3629"/>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629"/>
      <c r="Q42" s="1736" t="str">
        <f t="shared" si="11"/>
        <v>单套建筑面积</v>
      </c>
      <c r="R42" s="1737" t="s">
        <v>25</v>
      </c>
      <c r="S42" s="1738">
        <f t="shared" si="12"/>
        <v>100</v>
      </c>
      <c r="T42" s="1737" t="s">
        <v>25</v>
      </c>
      <c r="U42" s="1738">
        <f t="shared" si="13"/>
        <v>100</v>
      </c>
      <c r="V42" s="1737" t="s">
        <v>25</v>
      </c>
      <c r="W42" s="1738">
        <f t="shared" si="14"/>
        <v>100</v>
      </c>
      <c r="X42" s="1739"/>
      <c r="Y42" s="3629"/>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629"/>
      <c r="Q43" s="2883" t="str">
        <f t="shared" si="11"/>
        <v>内部装修</v>
      </c>
      <c r="R43" s="1695" t="s">
        <v>25</v>
      </c>
      <c r="S43" s="1696">
        <f t="shared" si="12"/>
        <v>100</v>
      </c>
      <c r="T43" s="1695" t="s">
        <v>25</v>
      </c>
      <c r="U43" s="1696">
        <f t="shared" si="13"/>
        <v>100</v>
      </c>
      <c r="V43" s="1695" t="s">
        <v>25</v>
      </c>
      <c r="W43" s="1696">
        <f t="shared" si="14"/>
        <v>100</v>
      </c>
      <c r="X43" s="2044"/>
      <c r="Y43" s="3629"/>
      <c r="Z43" s="2048" t="str">
        <f t="shared" si="15"/>
        <v>内部装修</v>
      </c>
      <c r="AA43" s="2039">
        <f t="shared" si="3"/>
        <v>1</v>
      </c>
      <c r="AB43" s="2039">
        <f t="shared" si="4"/>
        <v>1</v>
      </c>
      <c r="AC43" s="2039">
        <f t="shared" si="5"/>
        <v>1</v>
      </c>
    </row>
    <row r="44" spans="1:29" ht="28.8">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629"/>
      <c r="Q44" s="2883" t="str">
        <f t="shared" si="11"/>
        <v>内部装修维护情况</v>
      </c>
      <c r="R44" s="1695" t="s">
        <v>25</v>
      </c>
      <c r="S44" s="1696">
        <f t="shared" si="12"/>
        <v>100</v>
      </c>
      <c r="T44" s="1695" t="s">
        <v>25</v>
      </c>
      <c r="U44" s="1696">
        <f t="shared" si="13"/>
        <v>100</v>
      </c>
      <c r="V44" s="1695" t="s">
        <v>25</v>
      </c>
      <c r="W44" s="1696">
        <f t="shared" si="14"/>
        <v>100</v>
      </c>
      <c r="X44" s="2044"/>
      <c r="Y44" s="3629"/>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629"/>
      <c r="Q45" s="2882">
        <f t="shared" si="11"/>
        <v>111</v>
      </c>
      <c r="R45" s="1650" t="s">
        <v>25</v>
      </c>
      <c r="S45" s="1651">
        <f t="shared" si="12"/>
        <v>100</v>
      </c>
      <c r="T45" s="1650" t="s">
        <v>25</v>
      </c>
      <c r="U45" s="1651">
        <f t="shared" si="13"/>
        <v>100</v>
      </c>
      <c r="V45" s="1650" t="s">
        <v>25</v>
      </c>
      <c r="W45" s="1651">
        <f t="shared" si="14"/>
        <v>100</v>
      </c>
      <c r="X45" s="1652"/>
      <c r="Y45" s="3629"/>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629"/>
      <c r="Q46" s="2883">
        <f t="shared" si="11"/>
        <v>111</v>
      </c>
      <c r="R46" s="1695" t="s">
        <v>25</v>
      </c>
      <c r="S46" s="1696">
        <f t="shared" si="12"/>
        <v>100</v>
      </c>
      <c r="T46" s="1695" t="s">
        <v>25</v>
      </c>
      <c r="U46" s="1696">
        <f t="shared" si="13"/>
        <v>100</v>
      </c>
      <c r="V46" s="1695" t="s">
        <v>25</v>
      </c>
      <c r="W46" s="1696">
        <f t="shared" si="14"/>
        <v>100</v>
      </c>
      <c r="X46" s="2044"/>
      <c r="Y46" s="3629"/>
      <c r="Z46" s="2048">
        <f t="shared" si="15"/>
        <v>111</v>
      </c>
      <c r="AA46" s="2039">
        <f t="shared" si="3"/>
        <v>1</v>
      </c>
      <c r="AB46" s="2039">
        <f t="shared" si="4"/>
        <v>1</v>
      </c>
      <c r="AC46" s="2039">
        <f t="shared" si="5"/>
        <v>1</v>
      </c>
    </row>
    <row r="47" spans="1:29" ht="15.6"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630"/>
      <c r="Q47" s="2883">
        <f t="shared" si="11"/>
        <v>111</v>
      </c>
      <c r="R47" s="1695" t="s">
        <v>25</v>
      </c>
      <c r="S47" s="1696">
        <f t="shared" si="12"/>
        <v>100</v>
      </c>
      <c r="T47" s="1695" t="s">
        <v>25</v>
      </c>
      <c r="U47" s="1696">
        <f t="shared" si="13"/>
        <v>100</v>
      </c>
      <c r="V47" s="1695" t="s">
        <v>25</v>
      </c>
      <c r="W47" s="1696">
        <f t="shared" si="14"/>
        <v>100</v>
      </c>
      <c r="X47" s="2044"/>
      <c r="Y47" s="3630"/>
      <c r="Z47" s="2048">
        <f t="shared" si="15"/>
        <v>111</v>
      </c>
      <c r="AA47" s="2039">
        <f t="shared" si="3"/>
        <v>1</v>
      </c>
      <c r="AB47" s="2039">
        <f t="shared" si="4"/>
        <v>1</v>
      </c>
      <c r="AC47" s="2039">
        <f t="shared" si="5"/>
        <v>1</v>
      </c>
    </row>
    <row r="48" spans="1:29" ht="14.4">
      <c r="A48" s="1751" t="s">
        <v>2231</v>
      </c>
      <c r="B48" s="1752"/>
      <c r="C48" s="1753" t="s">
        <v>1</v>
      </c>
      <c r="D48" s="1754"/>
      <c r="E48" s="1755">
        <v>30000</v>
      </c>
      <c r="F48" s="1756"/>
      <c r="G48" s="1757">
        <v>31800</v>
      </c>
      <c r="H48" s="1758"/>
      <c r="I48" s="1755">
        <v>32000</v>
      </c>
      <c r="J48" s="1758"/>
      <c r="K48" s="1983"/>
      <c r="L48" s="2970"/>
      <c r="M48" s="2965"/>
      <c r="N48" s="2965"/>
      <c r="O48" s="2965"/>
      <c r="P48" s="3623" t="str">
        <f>A48</f>
        <v>成交单价（元/平方米）</v>
      </c>
      <c r="Q48" s="3623"/>
      <c r="R48" s="3624">
        <f>E48</f>
        <v>30000</v>
      </c>
      <c r="S48" s="3624"/>
      <c r="T48" s="3624">
        <f>G48</f>
        <v>31800</v>
      </c>
      <c r="U48" s="3624"/>
      <c r="V48" s="3624">
        <f>I48</f>
        <v>32000</v>
      </c>
      <c r="W48" s="3624"/>
      <c r="X48" s="1761"/>
      <c r="Y48" s="2043"/>
      <c r="Z48" s="1761"/>
      <c r="AA48" s="1761"/>
      <c r="AB48" s="1761"/>
      <c r="AC48" s="1761"/>
    </row>
    <row r="49" spans="1:29" ht="15" thickBot="1">
      <c r="A49" s="1763" t="s">
        <v>2314</v>
      </c>
      <c r="B49" s="1764"/>
      <c r="C49" s="1765">
        <f>R50</f>
        <v>31287</v>
      </c>
      <c r="D49" s="1766" t="s">
        <v>2687</v>
      </c>
      <c r="E49" s="1767">
        <f>R49</f>
        <v>29412</v>
      </c>
      <c r="F49" s="1768"/>
      <c r="G49" s="1765">
        <f>T49</f>
        <v>32449</v>
      </c>
      <c r="H49" s="1768"/>
      <c r="I49" s="1767">
        <f>V49</f>
        <v>32000</v>
      </c>
      <c r="J49" s="1768"/>
      <c r="K49" s="2480">
        <f>F49+H49+J49</f>
        <v>0</v>
      </c>
      <c r="L49" s="2970"/>
      <c r="M49" s="2965"/>
      <c r="N49" s="2965"/>
      <c r="O49" s="2965"/>
      <c r="P49" s="3623" t="str">
        <f>A49</f>
        <v>比较价值（元/平方米）</v>
      </c>
      <c r="Q49" s="3623"/>
      <c r="R49" s="3624">
        <f>IF(E1="售价",ROUND(PRODUCT(R48,AA7:AA47),0),ROUND(PRODUCT(R48,AA7:AA47),1))</f>
        <v>29412</v>
      </c>
      <c r="S49" s="3624"/>
      <c r="T49" s="3624">
        <f>IF(E1="售价",ROUND(PRODUCT(T48,AB7:AB47),0),ROUND(PRODUCT(T48,AB7:AB47),1))</f>
        <v>32449</v>
      </c>
      <c r="U49" s="3624"/>
      <c r="V49" s="3624">
        <f>IF(E1="售价",ROUND(PRODUCT(V48,AC7:AC47),0),ROUND(PRODUCT(V48,AC7:AC47),1))</f>
        <v>32000</v>
      </c>
      <c r="W49" s="3624"/>
      <c r="X49" s="1761"/>
      <c r="Y49" s="1761"/>
      <c r="Z49" s="1761"/>
      <c r="AA49" s="1761"/>
      <c r="AB49" s="1761"/>
      <c r="AC49" s="1761"/>
    </row>
    <row r="50" spans="1:29" ht="15" thickBot="1">
      <c r="A50" s="1769" t="s">
        <v>2337</v>
      </c>
      <c r="B50" s="1770"/>
      <c r="C50" s="1772">
        <f>R50</f>
        <v>31287</v>
      </c>
      <c r="D50" s="1772"/>
      <c r="E50" s="1772"/>
      <c r="F50" s="1772"/>
      <c r="G50" s="1772"/>
      <c r="H50" s="1772"/>
      <c r="I50" s="1772"/>
      <c r="J50" s="1772"/>
      <c r="K50" s="1988"/>
      <c r="L50" s="2970"/>
      <c r="M50" s="2965"/>
      <c r="N50" s="2965"/>
      <c r="O50" s="2965"/>
      <c r="P50" s="3625" t="str">
        <f>A50</f>
        <v>估价对象XX用房的比较价值（楼面单价，元/平方米）</v>
      </c>
      <c r="Q50" s="3626"/>
      <c r="R50" s="3627">
        <f>IF(E1="售价",ROUND(IF(D49="简单平均",AVERAGE(R49:V49),R49*F49+T49*H49+V49*J49),0),ROUND(IF(D49="简单平均",AVERAGE(R49:V49),R49*F49+T49*H49+V49*J49),1))</f>
        <v>31287</v>
      </c>
      <c r="S50" s="3627"/>
      <c r="T50" s="3627"/>
      <c r="U50" s="3627"/>
      <c r="V50" s="3627"/>
      <c r="W50" s="3627"/>
      <c r="X50" s="1761"/>
      <c r="Y50" s="1761"/>
      <c r="Z50" s="1761"/>
      <c r="AA50" s="1761"/>
      <c r="AB50" s="1761"/>
      <c r="AC50" s="1761"/>
    </row>
    <row r="51" spans="1:29">
      <c r="G51" s="2974"/>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7"/>
      <c r="L55" s="2971"/>
    </row>
    <row r="56" spans="1:29" s="1783" customFormat="1">
      <c r="B56" s="2975"/>
      <c r="C56" s="2976"/>
      <c r="K56" s="2977"/>
      <c r="L56" s="2971"/>
    </row>
    <row r="57" spans="1:29">
      <c r="B57" s="2975"/>
      <c r="C57" s="2976"/>
    </row>
    <row r="58" spans="1:29" ht="22.2" thickBot="1">
      <c r="A58" s="1786" t="s">
        <v>2319</v>
      </c>
      <c r="B58" s="1761"/>
      <c r="C58" s="1787"/>
      <c r="D58" s="1787"/>
      <c r="E58" s="1787"/>
      <c r="F58" s="1787"/>
      <c r="G58" s="1787"/>
      <c r="H58" s="1787"/>
      <c r="I58" s="1787"/>
      <c r="J58" s="1787"/>
      <c r="K58" s="1788"/>
      <c r="L58" s="1789"/>
      <c r="M58" s="1787"/>
      <c r="N58" s="2973"/>
      <c r="O58" s="2973"/>
      <c r="P58" s="2015"/>
      <c r="Q58" s="1791"/>
    </row>
    <row r="59" spans="1:29" s="1797" customFormat="1" ht="14.4">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c r="A60" s="1798"/>
      <c r="B60" s="1799"/>
      <c r="C60" s="1800">
        <v>100</v>
      </c>
      <c r="D60" s="1801"/>
      <c r="E60" s="1801"/>
      <c r="F60" s="1801"/>
      <c r="G60" s="1801"/>
      <c r="H60" s="1801"/>
      <c r="I60" s="1801"/>
      <c r="J60" s="1801"/>
      <c r="K60" s="1801"/>
      <c r="L60" s="1801"/>
      <c r="M60" s="1802"/>
      <c r="N60" s="1801"/>
      <c r="O60" s="1815"/>
      <c r="P60" s="1791"/>
    </row>
    <row r="61" spans="1:29" s="1654" customFormat="1" ht="1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4.4">
      <c r="A62" s="1809" t="s">
        <v>2203</v>
      </c>
      <c r="B62" s="1799"/>
      <c r="C62" s="1810" t="s">
        <v>2204</v>
      </c>
      <c r="D62" s="409"/>
      <c r="E62" s="409"/>
      <c r="F62" s="409"/>
      <c r="G62" s="409"/>
      <c r="H62" s="409"/>
      <c r="I62" s="409"/>
      <c r="J62" s="409"/>
      <c r="K62" s="409"/>
      <c r="L62" s="409"/>
      <c r="M62" s="1811"/>
      <c r="N62" s="2982"/>
      <c r="O62" s="2982"/>
      <c r="P62" s="2026"/>
      <c r="Q62" s="1791"/>
    </row>
    <row r="63" spans="1:29" s="1654" customFormat="1" ht="14.4" thickBot="1">
      <c r="A63" s="1809"/>
      <c r="B63" s="1799"/>
      <c r="C63" s="1814">
        <v>100</v>
      </c>
      <c r="D63" s="1801"/>
      <c r="E63" s="1801"/>
      <c r="F63" s="1801"/>
      <c r="G63" s="1801"/>
      <c r="H63" s="1801"/>
      <c r="I63" s="1801"/>
      <c r="J63" s="1801"/>
      <c r="K63" s="1801"/>
      <c r="L63" s="1801"/>
      <c r="M63" s="1815"/>
      <c r="N63" s="2982"/>
      <c r="O63" s="2982"/>
      <c r="P63" s="1791"/>
      <c r="Q63" s="1791"/>
    </row>
    <row r="64" spans="1:29" ht="14.4">
      <c r="A64" s="1816" t="s">
        <v>2242</v>
      </c>
      <c r="B64" s="1817" t="s">
        <v>2207</v>
      </c>
      <c r="C64" s="1818">
        <f>C9</f>
        <v>0</v>
      </c>
      <c r="D64" s="1819"/>
      <c r="E64" s="1819"/>
      <c r="F64" s="1819"/>
      <c r="G64" s="1819"/>
      <c r="H64" s="1819"/>
      <c r="I64" s="1819"/>
      <c r="J64" s="1819"/>
      <c r="K64" s="417"/>
      <c r="L64" s="417"/>
      <c r="M64" s="1820"/>
      <c r="N64" s="2983"/>
      <c r="O64" s="2983"/>
      <c r="P64" s="2027"/>
      <c r="Q64" s="1791"/>
    </row>
    <row r="65" spans="1:17" ht="14.4" thickBot="1">
      <c r="A65" s="1823"/>
      <c r="B65" s="1824"/>
      <c r="C65" s="1825">
        <v>100</v>
      </c>
      <c r="D65" s="1825"/>
      <c r="E65" s="1825"/>
      <c r="F65" s="1825"/>
      <c r="G65" s="1825"/>
      <c r="H65" s="1825"/>
      <c r="I65" s="1825"/>
      <c r="J65" s="1825"/>
      <c r="K65" s="1825"/>
      <c r="L65" s="1825"/>
      <c r="M65" s="1826"/>
      <c r="N65" s="2984"/>
      <c r="O65" s="2984"/>
      <c r="P65" s="2027"/>
      <c r="Q65" s="1791"/>
    </row>
    <row r="66" spans="1:17" ht="29.4"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3"/>
      <c r="O66" s="2983"/>
      <c r="P66" s="2027"/>
      <c r="Q66" s="1791"/>
    </row>
    <row r="67" spans="1:17" ht="14.4"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c r="A69" s="1823"/>
      <c r="B69" s="1836"/>
      <c r="C69" s="1837">
        <v>0</v>
      </c>
      <c r="D69" s="1837">
        <v>1</v>
      </c>
      <c r="E69" s="1837">
        <v>2</v>
      </c>
      <c r="F69" s="1837">
        <v>3</v>
      </c>
      <c r="G69" s="1837">
        <v>4</v>
      </c>
      <c r="H69" s="1837"/>
      <c r="I69" s="1837"/>
      <c r="J69" s="1837"/>
      <c r="K69" s="438"/>
      <c r="L69" s="438"/>
      <c r="M69" s="1838"/>
      <c r="N69" s="2983"/>
      <c r="O69" s="2983"/>
      <c r="P69" s="2027"/>
      <c r="Q69" s="1791"/>
    </row>
    <row r="70" spans="1:17" ht="14.4"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4.4"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4.4" thickBot="1">
      <c r="A72" s="1839"/>
      <c r="B72" s="1831"/>
      <c r="C72" s="1844"/>
      <c r="D72" s="1825"/>
      <c r="E72" s="1825"/>
      <c r="F72" s="1825"/>
      <c r="G72" s="1825"/>
      <c r="H72" s="1825"/>
      <c r="I72" s="1825"/>
      <c r="J72" s="1825"/>
      <c r="K72" s="1825"/>
      <c r="L72" s="1825"/>
      <c r="M72" s="1826"/>
      <c r="N72" s="2984"/>
      <c r="O72" s="2984"/>
      <c r="P72" s="2028"/>
      <c r="Q72" s="1843"/>
    </row>
    <row r="73" spans="1:17" s="1741" customFormat="1" ht="14.4"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4.4" thickBot="1">
      <c r="A74" s="1839"/>
      <c r="B74" s="1831"/>
      <c r="C74" s="1844"/>
      <c r="D74" s="1844"/>
      <c r="E74" s="1844"/>
      <c r="F74" s="1844"/>
      <c r="G74" s="1844"/>
      <c r="H74" s="1847"/>
      <c r="I74" s="1847"/>
      <c r="J74" s="1847"/>
      <c r="K74" s="1847"/>
      <c r="L74" s="1847"/>
      <c r="M74" s="1848"/>
      <c r="N74" s="2985"/>
      <c r="O74" s="2985"/>
      <c r="P74" s="2028"/>
      <c r="Q74" s="1843"/>
    </row>
    <row r="75" spans="1:17" s="1741" customFormat="1" ht="14.4"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4.4" thickBot="1">
      <c r="A76" s="1850"/>
      <c r="B76" s="1851"/>
      <c r="C76" s="1852"/>
      <c r="D76" s="1852"/>
      <c r="E76" s="1852"/>
      <c r="F76" s="1852"/>
      <c r="G76" s="1852"/>
      <c r="H76" s="1853"/>
      <c r="I76" s="1853"/>
      <c r="J76" s="1853"/>
      <c r="K76" s="1853"/>
      <c r="L76" s="1853"/>
      <c r="M76" s="1854"/>
      <c r="N76" s="2985"/>
      <c r="O76" s="2985"/>
      <c r="P76" s="2028"/>
      <c r="Q76" s="1843"/>
    </row>
    <row r="77" spans="1:17" ht="14.4">
      <c r="A77" s="1816" t="s">
        <v>2212</v>
      </c>
      <c r="B77" s="1817" t="s">
        <v>2338</v>
      </c>
      <c r="C77" s="1855" t="s">
        <v>2251</v>
      </c>
      <c r="D77" s="1855" t="s">
        <v>2252</v>
      </c>
      <c r="E77" s="1855" t="s">
        <v>2253</v>
      </c>
      <c r="F77" s="1855" t="s">
        <v>2254</v>
      </c>
      <c r="G77" s="1855" t="s">
        <v>2255</v>
      </c>
      <c r="H77" s="1818"/>
      <c r="I77" s="1818"/>
      <c r="J77" s="1818"/>
      <c r="K77" s="463"/>
      <c r="L77" s="463"/>
      <c r="M77" s="1856"/>
      <c r="N77" s="2983"/>
      <c r="O77" s="2983"/>
      <c r="P77" s="2027"/>
      <c r="Q77" s="1791"/>
    </row>
    <row r="78" spans="1:17" ht="14.4"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 thickTop="1">
      <c r="A79" s="1823"/>
      <c r="B79" s="1828" t="s">
        <v>2256</v>
      </c>
      <c r="C79" s="579" t="s">
        <v>2251</v>
      </c>
      <c r="D79" s="579" t="s">
        <v>2252</v>
      </c>
      <c r="E79" s="579" t="s">
        <v>2253</v>
      </c>
      <c r="F79" s="579" t="s">
        <v>2254</v>
      </c>
      <c r="G79" s="579" t="s">
        <v>2255</v>
      </c>
      <c r="H79" s="1829"/>
      <c r="I79" s="1829"/>
      <c r="J79" s="1829"/>
      <c r="K79" s="428"/>
      <c r="L79" s="428"/>
      <c r="M79" s="1830"/>
      <c r="N79" s="2983"/>
      <c r="O79" s="2983"/>
      <c r="P79" s="2027"/>
      <c r="Q79" s="1791"/>
    </row>
    <row r="80" spans="1:17" ht="14.4"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 thickTop="1">
      <c r="A81" s="1823"/>
      <c r="B81" s="1828" t="s">
        <v>2257</v>
      </c>
      <c r="C81" s="579" t="s">
        <v>2251</v>
      </c>
      <c r="D81" s="579" t="s">
        <v>2252</v>
      </c>
      <c r="E81" s="579" t="s">
        <v>2253</v>
      </c>
      <c r="F81" s="579" t="s">
        <v>2254</v>
      </c>
      <c r="G81" s="579" t="s">
        <v>2255</v>
      </c>
      <c r="H81" s="1829"/>
      <c r="I81" s="1829"/>
      <c r="J81" s="1829"/>
      <c r="K81" s="428"/>
      <c r="L81" s="428"/>
      <c r="M81" s="1830"/>
      <c r="N81" s="2983"/>
      <c r="O81" s="2983"/>
      <c r="P81" s="2027"/>
      <c r="Q81" s="1791"/>
    </row>
    <row r="82" spans="1:17" ht="14.4"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 thickTop="1">
      <c r="A83" s="1823"/>
      <c r="B83" s="1834" t="s">
        <v>2300</v>
      </c>
      <c r="C83" s="1829" t="s">
        <v>2258</v>
      </c>
      <c r="D83" s="1829" t="s">
        <v>2259</v>
      </c>
      <c r="E83" s="1829" t="s">
        <v>2260</v>
      </c>
      <c r="F83" s="1829" t="s">
        <v>2261</v>
      </c>
      <c r="G83" s="1829" t="s">
        <v>2262</v>
      </c>
      <c r="H83" s="1829"/>
      <c r="I83" s="1829"/>
      <c r="J83" s="1829"/>
      <c r="K83" s="1829"/>
      <c r="L83" s="1829"/>
      <c r="M83" s="1857"/>
      <c r="N83" s="2984"/>
      <c r="O83" s="2984"/>
      <c r="P83" s="2027"/>
      <c r="Q83" s="1791"/>
    </row>
    <row r="84" spans="1:17" ht="14.4"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 thickTop="1">
      <c r="A85" s="1823"/>
      <c r="B85" s="1828" t="s">
        <v>2339</v>
      </c>
      <c r="C85" s="579" t="s">
        <v>2251</v>
      </c>
      <c r="D85" s="579" t="s">
        <v>2252</v>
      </c>
      <c r="E85" s="579" t="s">
        <v>2253</v>
      </c>
      <c r="F85" s="579" t="s">
        <v>2254</v>
      </c>
      <c r="G85" s="579" t="s">
        <v>2255</v>
      </c>
      <c r="H85" s="1829"/>
      <c r="I85" s="1829"/>
      <c r="J85" s="1829"/>
      <c r="K85" s="428"/>
      <c r="L85" s="428"/>
      <c r="M85" s="1830"/>
      <c r="N85" s="2983"/>
      <c r="O85" s="2983"/>
      <c r="P85" s="2027"/>
      <c r="Q85" s="1791"/>
    </row>
    <row r="86" spans="1:17" ht="14.4"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9.4" thickTop="1">
      <c r="A87" s="1859"/>
      <c r="B87" s="1828" t="s">
        <v>2340</v>
      </c>
      <c r="C87" s="468"/>
      <c r="D87" s="468"/>
      <c r="E87" s="468"/>
      <c r="F87" s="468"/>
      <c r="G87" s="468"/>
      <c r="H87" s="468"/>
      <c r="I87" s="468"/>
      <c r="J87" s="468"/>
      <c r="K87" s="468"/>
      <c r="L87" s="468"/>
      <c r="M87" s="1860"/>
      <c r="N87" s="2982"/>
      <c r="O87" s="2982"/>
      <c r="P87" s="2027"/>
      <c r="Q87" s="1791"/>
    </row>
    <row r="88" spans="1:17" s="1654" customFormat="1" ht="14.4"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 thickTop="1">
      <c r="A89" s="1859"/>
      <c r="B89" s="1828" t="str">
        <f>B27</f>
        <v>楼层</v>
      </c>
      <c r="C89" s="3317" t="s">
        <v>3007</v>
      </c>
      <c r="D89" s="3317" t="s">
        <v>3008</v>
      </c>
      <c r="E89" s="3317" t="s">
        <v>3006</v>
      </c>
      <c r="F89" s="1862"/>
      <c r="G89" s="468"/>
      <c r="H89" s="468"/>
      <c r="I89" s="468"/>
      <c r="J89" s="468"/>
      <c r="K89" s="468"/>
      <c r="L89" s="468"/>
      <c r="M89" s="1860"/>
      <c r="N89" s="2982"/>
      <c r="O89" s="2982"/>
      <c r="P89" s="2027"/>
      <c r="Q89" s="1791"/>
    </row>
    <row r="90" spans="1:17" s="1654" customFormat="1" ht="14.4"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4"/>
      <c r="O90" s="2984"/>
      <c r="P90" s="2027"/>
      <c r="Q90" s="1791"/>
    </row>
    <row r="91" spans="1:17" s="1741" customFormat="1" ht="14.4"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4.4"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4.4" thickTop="1">
      <c r="A93" s="1823"/>
      <c r="B93" s="1828">
        <f>B29</f>
        <v>111</v>
      </c>
      <c r="C93" s="468"/>
      <c r="D93" s="468"/>
      <c r="E93" s="468"/>
      <c r="F93" s="468"/>
      <c r="G93" s="468"/>
      <c r="H93" s="468"/>
      <c r="I93" s="468"/>
      <c r="J93" s="468"/>
      <c r="K93" s="468"/>
      <c r="L93" s="468"/>
      <c r="M93" s="1860"/>
      <c r="N93" s="2983"/>
      <c r="O93" s="2983"/>
      <c r="P93" s="2027"/>
      <c r="Q93" s="1791"/>
    </row>
    <row r="94" spans="1:17" ht="14.4" thickBot="1">
      <c r="A94" s="1823"/>
      <c r="B94" s="1831"/>
      <c r="C94" s="1844"/>
      <c r="D94" s="1825"/>
      <c r="E94" s="1825"/>
      <c r="F94" s="1825"/>
      <c r="G94" s="1825"/>
      <c r="H94" s="1825"/>
      <c r="I94" s="1825"/>
      <c r="J94" s="1825"/>
      <c r="K94" s="1825"/>
      <c r="L94" s="1825"/>
      <c r="M94" s="1826"/>
      <c r="N94" s="2984"/>
      <c r="O94" s="2984"/>
      <c r="P94" s="2027"/>
      <c r="Q94" s="1791"/>
    </row>
    <row r="95" spans="1:17" ht="14.4" thickTop="1">
      <c r="A95" s="1823"/>
      <c r="B95" s="1828">
        <f>B30</f>
        <v>111</v>
      </c>
      <c r="C95" s="468"/>
      <c r="D95" s="468"/>
      <c r="E95" s="468"/>
      <c r="F95" s="468"/>
      <c r="G95" s="1547"/>
      <c r="H95" s="1547"/>
      <c r="I95" s="1547"/>
      <c r="J95" s="1547"/>
      <c r="K95" s="473"/>
      <c r="L95" s="473"/>
      <c r="M95" s="1863"/>
      <c r="N95" s="2983"/>
      <c r="O95" s="2983"/>
      <c r="P95" s="2027"/>
      <c r="Q95" s="1791"/>
    </row>
    <row r="96" spans="1:17" ht="14.4" thickBot="1">
      <c r="A96" s="1823"/>
      <c r="B96" s="1831"/>
      <c r="C96" s="1844"/>
      <c r="D96" s="1844"/>
      <c r="E96" s="1844"/>
      <c r="F96" s="1844"/>
      <c r="G96" s="1825"/>
      <c r="H96" s="1825"/>
      <c r="I96" s="1825"/>
      <c r="J96" s="1825"/>
      <c r="K96" s="1825"/>
      <c r="L96" s="1825"/>
      <c r="M96" s="1826"/>
      <c r="N96" s="2984"/>
      <c r="O96" s="2984"/>
      <c r="P96" s="2027"/>
      <c r="Q96" s="1791"/>
    </row>
    <row r="97" spans="1:17" ht="14.4" thickTop="1">
      <c r="A97" s="1823"/>
      <c r="B97" s="1828">
        <f>B31</f>
        <v>111</v>
      </c>
      <c r="C97" s="468"/>
      <c r="D97" s="468"/>
      <c r="E97" s="468"/>
      <c r="F97" s="468"/>
      <c r="G97" s="1547"/>
      <c r="H97" s="1547"/>
      <c r="I97" s="1547"/>
      <c r="J97" s="1547"/>
      <c r="K97" s="473"/>
      <c r="L97" s="473"/>
      <c r="M97" s="1863"/>
      <c r="N97" s="2983"/>
      <c r="O97" s="2983"/>
      <c r="P97" s="2027"/>
      <c r="Q97" s="1791"/>
    </row>
    <row r="98" spans="1:17" ht="14.4" thickBot="1">
      <c r="A98" s="1823"/>
      <c r="B98" s="1831"/>
      <c r="C98" s="1844"/>
      <c r="D98" s="1825"/>
      <c r="E98" s="1825"/>
      <c r="F98" s="1825"/>
      <c r="G98" s="1825"/>
      <c r="H98" s="1825"/>
      <c r="I98" s="1825"/>
      <c r="J98" s="1825"/>
      <c r="K98" s="1825"/>
      <c r="L98" s="1825"/>
      <c r="M98" s="1826"/>
      <c r="N98" s="2984"/>
      <c r="O98" s="2984"/>
      <c r="P98" s="2027"/>
      <c r="Q98" s="1791"/>
    </row>
    <row r="99" spans="1:17" ht="14.4" thickTop="1">
      <c r="A99" s="1823"/>
      <c r="B99" s="1834">
        <f>B32</f>
        <v>111</v>
      </c>
      <c r="C99" s="409"/>
      <c r="D99" s="409"/>
      <c r="E99" s="409"/>
      <c r="F99" s="409"/>
      <c r="G99" s="1864"/>
      <c r="H99" s="1864"/>
      <c r="I99" s="1864"/>
      <c r="J99" s="1864"/>
      <c r="K99" s="477"/>
      <c r="L99" s="477"/>
      <c r="M99" s="1865"/>
      <c r="N99" s="2983"/>
      <c r="O99" s="2983"/>
      <c r="P99" s="2027"/>
      <c r="Q99" s="1791"/>
    </row>
    <row r="100" spans="1:17" ht="14.4" thickBot="1">
      <c r="A100" s="1866"/>
      <c r="B100" s="1851"/>
      <c r="C100" s="1852"/>
      <c r="D100" s="1852"/>
      <c r="E100" s="1852"/>
      <c r="F100" s="1852"/>
      <c r="G100" s="1867"/>
      <c r="H100" s="1867"/>
      <c r="I100" s="1867"/>
      <c r="J100" s="1867"/>
      <c r="K100" s="1867"/>
      <c r="L100" s="1867"/>
      <c r="M100" s="1868"/>
      <c r="N100" s="2984"/>
      <c r="O100" s="2984"/>
      <c r="P100" s="2027"/>
      <c r="Q100" s="1791"/>
    </row>
    <row r="101" spans="1:17" ht="14.4">
      <c r="A101" s="1816" t="s">
        <v>2217</v>
      </c>
      <c r="B101" s="1817" t="s">
        <v>2266</v>
      </c>
      <c r="C101" s="1819"/>
      <c r="D101" s="1819"/>
      <c r="E101" s="1819"/>
      <c r="F101" s="1819"/>
      <c r="G101" s="1819"/>
      <c r="H101" s="1819"/>
      <c r="I101" s="1819"/>
      <c r="J101" s="1819"/>
      <c r="K101" s="417"/>
      <c r="L101" s="417"/>
      <c r="M101" s="1820"/>
      <c r="N101" s="2983"/>
      <c r="O101" s="2983"/>
      <c r="P101" s="2027"/>
      <c r="Q101" s="1791"/>
    </row>
    <row r="102" spans="1:17" ht="14.4"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5"/>
      <c r="O104" s="2985"/>
      <c r="P104" s="2028"/>
      <c r="Q104" s="1843"/>
    </row>
    <row r="105" spans="1:17" s="1741" customFormat="1" ht="14.4" thickBot="1">
      <c r="A105" s="1839"/>
      <c r="B105" s="1831"/>
      <c r="C105" s="1844">
        <v>96</v>
      </c>
      <c r="D105" s="1825">
        <v>98</v>
      </c>
      <c r="E105" s="1825">
        <v>100</v>
      </c>
      <c r="F105" s="1825">
        <v>98</v>
      </c>
      <c r="G105" s="1825">
        <v>96</v>
      </c>
      <c r="H105" s="1825"/>
      <c r="I105" s="1825"/>
      <c r="J105" s="1825"/>
      <c r="K105" s="1825"/>
      <c r="L105" s="1825"/>
      <c r="M105" s="1826"/>
      <c r="N105" s="2984"/>
      <c r="O105" s="2984"/>
      <c r="P105" s="2028"/>
      <c r="Q105" s="1843"/>
    </row>
    <row r="106" spans="1:17" ht="15" thickTop="1">
      <c r="A106" s="1873"/>
      <c r="B106" s="1828" t="s">
        <v>2268</v>
      </c>
      <c r="C106" s="468"/>
      <c r="D106" s="468"/>
      <c r="E106" s="1547"/>
      <c r="F106" s="1547"/>
      <c r="G106" s="1547"/>
      <c r="H106" s="1547"/>
      <c r="I106" s="1547"/>
      <c r="J106" s="1547"/>
      <c r="K106" s="473"/>
      <c r="L106" s="473"/>
      <c r="M106" s="1863"/>
      <c r="N106" s="2983"/>
      <c r="O106" s="2983"/>
      <c r="P106" s="2027"/>
      <c r="Q106" s="1791"/>
    </row>
    <row r="107" spans="1:17" ht="14.4"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2270</v>
      </c>
      <c r="C108" s="468"/>
      <c r="D108" s="468"/>
      <c r="E108" s="468"/>
      <c r="F108" s="1547"/>
      <c r="G108" s="1547"/>
      <c r="H108" s="1547"/>
      <c r="I108" s="1547"/>
      <c r="J108" s="1547"/>
      <c r="K108" s="473"/>
      <c r="L108" s="473"/>
      <c r="M108" s="1863"/>
      <c r="N108" s="2983"/>
      <c r="O108" s="2983"/>
      <c r="P108" s="2027"/>
      <c r="Q108" s="1791"/>
    </row>
    <row r="109" spans="1:17" ht="14.4"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4.4"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5"/>
      <c r="O113" s="2985"/>
      <c r="P113" s="2028"/>
      <c r="Q113" s="1843"/>
    </row>
    <row r="114" spans="1:17" s="1741" customFormat="1" ht="14.4"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2272</v>
      </c>
      <c r="C115" s="468"/>
      <c r="D115" s="468"/>
      <c r="E115" s="1547"/>
      <c r="F115" s="1547"/>
      <c r="G115" s="1547"/>
      <c r="H115" s="1547"/>
      <c r="I115" s="1547"/>
      <c r="J115" s="1547"/>
      <c r="K115" s="473"/>
      <c r="L115" s="473"/>
      <c r="M115" s="1863"/>
      <c r="N115" s="2983"/>
      <c r="O115" s="2983"/>
      <c r="P115" s="2027"/>
      <c r="Q115" s="1791"/>
    </row>
    <row r="116" spans="1:17" ht="14.4"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2273</v>
      </c>
      <c r="C117" s="468"/>
      <c r="D117" s="468"/>
      <c r="E117" s="468"/>
      <c r="F117" s="468"/>
      <c r="G117" s="468"/>
      <c r="H117" s="1547"/>
      <c r="I117" s="1547"/>
      <c r="J117" s="1547"/>
      <c r="K117" s="473"/>
      <c r="L117" s="473"/>
      <c r="M117" s="1863"/>
      <c r="N117" s="2983"/>
      <c r="O117" s="2983"/>
      <c r="P117" s="2027"/>
      <c r="Q117" s="1791"/>
    </row>
    <row r="118" spans="1:17" ht="14.4"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2342</v>
      </c>
      <c r="C119" s="1547"/>
      <c r="D119" s="1547"/>
      <c r="E119" s="1547"/>
      <c r="F119" s="1547"/>
      <c r="G119" s="1547"/>
      <c r="H119" s="1547"/>
      <c r="I119" s="1547"/>
      <c r="J119" s="1547"/>
      <c r="K119" s="1547"/>
      <c r="L119" s="1547"/>
      <c r="M119" s="2476"/>
      <c r="N119" s="2984"/>
      <c r="O119" s="2984"/>
      <c r="P119" s="2477"/>
      <c r="Q119" s="2478"/>
    </row>
    <row r="120" spans="1:17" ht="14.4"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5"/>
      <c r="O121" s="2985"/>
      <c r="P121" s="2028"/>
      <c r="Q121" s="1843"/>
    </row>
    <row r="122" spans="1:17" s="1741" customFormat="1" ht="14.4"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2275</v>
      </c>
      <c r="C123" s="468"/>
      <c r="D123" s="468"/>
      <c r="E123" s="468"/>
      <c r="F123" s="1547"/>
      <c r="G123" s="1547"/>
      <c r="H123" s="1547"/>
      <c r="I123" s="1547"/>
      <c r="J123" s="1547"/>
      <c r="K123" s="473"/>
      <c r="L123" s="473"/>
      <c r="M123" s="1863"/>
      <c r="N123" s="2983"/>
      <c r="O123" s="2983"/>
      <c r="P123" s="2027"/>
      <c r="Q123" s="1791"/>
    </row>
    <row r="124" spans="1:17" ht="14.4"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29.4" thickTop="1">
      <c r="A125" s="1873"/>
      <c r="B125" s="1828" t="s">
        <v>2276</v>
      </c>
      <c r="C125" s="579" t="s">
        <v>2251</v>
      </c>
      <c r="D125" s="579" t="s">
        <v>2252</v>
      </c>
      <c r="E125" s="579" t="s">
        <v>2253</v>
      </c>
      <c r="F125" s="579" t="s">
        <v>2254</v>
      </c>
      <c r="G125" s="579" t="s">
        <v>2255</v>
      </c>
      <c r="H125" s="1829"/>
      <c r="I125" s="1829"/>
      <c r="J125" s="1829"/>
      <c r="K125" s="428"/>
      <c r="L125" s="428"/>
      <c r="M125" s="1830"/>
      <c r="N125" s="2983"/>
      <c r="O125" s="2983"/>
      <c r="P125" s="2028"/>
      <c r="Q125" s="1791"/>
    </row>
    <row r="126" spans="1:17" ht="14.4"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4.4"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4.4" thickBot="1">
      <c r="A128" s="1839"/>
      <c r="B128" s="1831"/>
      <c r="C128" s="1844"/>
      <c r="D128" s="1825"/>
      <c r="E128" s="1825"/>
      <c r="F128" s="1825"/>
      <c r="G128" s="1844"/>
      <c r="H128" s="1847"/>
      <c r="I128" s="1847"/>
      <c r="J128" s="1847"/>
      <c r="K128" s="1847"/>
      <c r="L128" s="1847"/>
      <c r="M128" s="1848"/>
      <c r="N128" s="2985"/>
      <c r="O128" s="2985"/>
      <c r="P128" s="2028"/>
      <c r="Q128" s="1843"/>
    </row>
    <row r="129" spans="1:17" ht="14.4"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4.4" thickBot="1">
      <c r="A130" s="1823"/>
      <c r="B130" s="1831"/>
      <c r="C130" s="1844"/>
      <c r="D130" s="1844"/>
      <c r="E130" s="1844"/>
      <c r="F130" s="1844"/>
      <c r="G130" s="1825"/>
      <c r="H130" s="1825"/>
      <c r="I130" s="1825"/>
      <c r="J130" s="1825"/>
      <c r="K130" s="1825"/>
      <c r="L130" s="1825"/>
      <c r="M130" s="1826"/>
      <c r="N130" s="2984"/>
      <c r="O130" s="2984"/>
      <c r="P130" s="2027"/>
      <c r="Q130" s="1791"/>
    </row>
    <row r="131" spans="1:17" ht="14.4"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4.4"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60" zoomScaleNormal="60" workbookViewId="0">
      <selection activeCell="F41" sqref="F4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1947</v>
      </c>
      <c r="B1" s="222"/>
      <c r="C1" s="611"/>
      <c r="D1" s="1594" t="s">
        <v>3014</v>
      </c>
      <c r="E1" s="1595" t="s">
        <v>1184</v>
      </c>
      <c r="F1" s="1596"/>
      <c r="G1" s="1597" t="e">
        <f>MATCH(C1,'数据-取费表'!A19:A19,0)+5</f>
        <v>#N/A</v>
      </c>
      <c r="H1" s="2954"/>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294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23412</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2668</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494082</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667678</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21964</v>
      </c>
      <c r="D16" s="235" t="s">
        <v>1982</v>
      </c>
      <c r="E16" s="235" t="s">
        <v>1983</v>
      </c>
      <c r="F16" s="258">
        <f>IF('数据-取费表'!B10="住宅",'数据-取费表'!E22,0)</f>
        <v>0.05</v>
      </c>
      <c r="G16" s="952"/>
      <c r="H16" s="1062" t="s">
        <v>14</v>
      </c>
      <c r="I16" s="1063" t="s">
        <v>1988</v>
      </c>
      <c r="J16" s="243">
        <f ca="1">ROUND(J17+J22+J23+J24,0)</f>
        <v>15623</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4">
        <f ca="1">ROUND(IF(AND(项目基本情况!B7="自然人",项目基本情况!B6="北京市"),J6*M17/(1+'数据-取费表'!F30),J18+J19+J20),0)</f>
        <v>5608</v>
      </c>
      <c r="K17" s="1297" t="s">
        <v>1996</v>
      </c>
      <c r="L17" s="1300" t="s">
        <v>1997</v>
      </c>
      <c r="M17" s="2793"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2670</v>
      </c>
      <c r="L18" s="235" t="s">
        <v>1983</v>
      </c>
      <c r="M18" s="258">
        <f>'数据-取费表'!E29</f>
        <v>5.6000000000000001E-2</v>
      </c>
    </row>
    <row r="19" spans="1:37" s="257" customFormat="1" ht="18" customHeight="1">
      <c r="A19" s="253" t="s">
        <v>1994</v>
      </c>
      <c r="B19" s="235" t="s">
        <v>2002</v>
      </c>
      <c r="C19" s="13">
        <f>SUM(C14:C18)</f>
        <v>506119</v>
      </c>
      <c r="D19" s="33" t="s">
        <v>2003</v>
      </c>
      <c r="E19" s="1302"/>
      <c r="F19" s="15"/>
      <c r="G19" s="952"/>
      <c r="H19" s="253" t="s">
        <v>1980</v>
      </c>
      <c r="I19" s="235" t="s">
        <v>2004</v>
      </c>
      <c r="J19" s="13">
        <f ca="1">IF(项目基本情况!B7="自然人","——",IF(K19="按租金收入计税",ROUND(J6*M19/(1+'数据-取费表'!F30),0),ROUND(C29*M19*0.7,0)))</f>
        <v>5608</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10122</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10015</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22456</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-15623</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77436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667678</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41703</v>
      </c>
      <c r="D30" s="1069" t="s">
        <v>2055</v>
      </c>
      <c r="E30" s="1070"/>
      <c r="F30" s="1071"/>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27644</v>
      </c>
      <c r="D31" s="1297" t="s">
        <v>2056</v>
      </c>
      <c r="E31" s="1300" t="s">
        <v>2057</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8796</v>
      </c>
      <c r="D32" s="1300" t="s">
        <v>2669</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34586</v>
      </c>
      <c r="K34" s="945"/>
      <c r="L34" s="946"/>
      <c r="M34" s="946"/>
    </row>
    <row r="35" spans="1:18" ht="24.6" customHeight="1">
      <c r="A35" s="1060"/>
      <c r="B35" s="244"/>
      <c r="C35" s="17"/>
      <c r="D35" s="264"/>
      <c r="E35" s="235" t="s">
        <v>2016</v>
      </c>
      <c r="F35" s="236">
        <f>IF(D1="仅计算典型户型",'数据-取费表'!E6,'数据-取费表'!B6)</f>
        <v>0</v>
      </c>
      <c r="G35" s="652" t="s">
        <v>2758</v>
      </c>
      <c r="H35" s="931"/>
      <c r="I35" s="282" t="s">
        <v>2062</v>
      </c>
      <c r="J35" s="283">
        <f>'数据-取费表'!B18</f>
        <v>7.0000000000000007E-2</v>
      </c>
      <c r="K35" s="944"/>
      <c r="L35" s="943"/>
      <c r="M35" s="943"/>
    </row>
    <row r="36" spans="1:18" ht="18" customHeight="1">
      <c r="A36" s="1059" t="s">
        <v>1964</v>
      </c>
      <c r="B36" s="235" t="s">
        <v>2063</v>
      </c>
      <c r="C36" s="13">
        <f ca="1">ROUND(C29*F36,0)</f>
        <v>10015</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741</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0.28000000000000003</v>
      </c>
      <c r="K38" s="948"/>
      <c r="L38" s="943"/>
      <c r="M38" s="943"/>
    </row>
    <row r="39" spans="1:18" ht="18" customHeight="1" thickTop="1">
      <c r="A39" s="1062" t="s">
        <v>22</v>
      </c>
      <c r="B39" s="1077" t="s">
        <v>2068</v>
      </c>
      <c r="C39" s="243">
        <f ca="1">C5-C30</f>
        <v>123423</v>
      </c>
      <c r="D39" s="1078" t="s">
        <v>2069</v>
      </c>
      <c r="E39" s="1079"/>
      <c r="F39" s="1080"/>
      <c r="G39" s="652"/>
      <c r="H39" s="943"/>
      <c r="I39" s="280" t="s">
        <v>2070</v>
      </c>
      <c r="J39" s="136">
        <f ca="1">1-J38</f>
        <v>0.72</v>
      </c>
      <c r="K39" s="948"/>
      <c r="L39" s="943"/>
      <c r="M39" s="943"/>
    </row>
    <row r="40" spans="1:18" s="652" customFormat="1" ht="18" customHeight="1">
      <c r="A40" s="232" t="s">
        <v>23</v>
      </c>
      <c r="B40" s="233" t="s">
        <v>2071</v>
      </c>
      <c r="C40" s="234">
        <f ca="1">ROUND(C39*(1-((1+F42)/(1+F40))^F41)/(F40-F42),0)</f>
        <v>2938436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3020</v>
      </c>
      <c r="F41" s="270">
        <f>IF('数据-取费表'!B29="租赁期内按合同租金",'数据-取费表'!B35,IF(E41="收益年期(n)",'数据-取费表'!B34,'数据-取费表'!B13))</f>
        <v>43.42</v>
      </c>
      <c r="H41" s="950"/>
      <c r="I41" s="135" t="s">
        <v>1945</v>
      </c>
      <c r="J41" s="136">
        <f ca="1">ROUND(C13/C40,3)</f>
        <v>0.16800000000000001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0.83199999999999996</v>
      </c>
      <c r="K42" s="947"/>
      <c r="L42" s="950"/>
      <c r="M42" s="950"/>
      <c r="Q42" s="656"/>
    </row>
    <row r="43" spans="1:18" s="652" customFormat="1" ht="18" customHeight="1" thickBot="1">
      <c r="A43" s="271" t="s">
        <v>24</v>
      </c>
      <c r="B43" s="272" t="s">
        <v>2074</v>
      </c>
      <c r="C43" s="273">
        <f ca="1">ROUND(C40/F43,0)</f>
        <v>23412</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2938436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2.2" thickBot="1">
      <c r="A47" s="1496" t="s">
        <v>2086</v>
      </c>
      <c r="C47" s="992">
        <f ca="1">IF(C2="元",C69-C40,ROUND((C69-C40)/10000,0))</f>
        <v>-403</v>
      </c>
      <c r="D47" s="1497" t="str">
        <f>C2</f>
        <v>万元</v>
      </c>
      <c r="E47" s="649"/>
      <c r="F47" s="649"/>
      <c r="I47" s="1498" t="s">
        <v>2087</v>
      </c>
      <c r="J47" s="1022"/>
      <c r="K47" s="1023"/>
      <c r="L47" s="1036">
        <f>IF(M48="住宅",0,IF(L49&gt;J52,L61,J61))</f>
        <v>0</v>
      </c>
      <c r="O47" s="1050" t="s">
        <v>951</v>
      </c>
      <c r="P47" s="1047" t="s">
        <v>2088</v>
      </c>
      <c r="Q47" s="1048">
        <f ca="1">C29</f>
        <v>667678</v>
      </c>
      <c r="R47" s="1049" t="s">
        <v>2083</v>
      </c>
    </row>
    <row r="48" spans="1:18" s="652" customFormat="1" ht="16.2" thickBot="1">
      <c r="A48" s="228" t="s">
        <v>2089</v>
      </c>
      <c r="B48" s="229" t="s">
        <v>2090</v>
      </c>
      <c r="C48" s="229" t="s">
        <v>2091</v>
      </c>
      <c r="D48" s="229" t="s">
        <v>2092</v>
      </c>
      <c r="E48" s="986" t="s">
        <v>2093</v>
      </c>
      <c r="F48" s="987"/>
      <c r="I48" s="1499" t="s">
        <v>2094</v>
      </c>
      <c r="J48" s="1500" t="s">
        <v>3000</v>
      </c>
      <c r="K48" s="1501" t="s">
        <v>2095</v>
      </c>
      <c r="L48" s="1024">
        <f>'数据-取费表'!B11</f>
        <v>70</v>
      </c>
      <c r="M48" s="1037" t="str">
        <f>IF('数据-取费表'!B10="住宅","住宅","非住宅")</f>
        <v>住宅</v>
      </c>
      <c r="O48" s="1050" t="s">
        <v>952</v>
      </c>
      <c r="P48" s="1047" t="s">
        <v>2096</v>
      </c>
      <c r="Q48" s="1051" t="e">
        <f>J59</f>
        <v>#VALUE!</v>
      </c>
      <c r="R48" s="1049"/>
    </row>
    <row r="49" spans="1:18" s="652" customFormat="1" ht="16.2" thickBot="1">
      <c r="A49" s="1097" t="s">
        <v>963</v>
      </c>
      <c r="B49" s="233" t="s">
        <v>2097</v>
      </c>
      <c r="C49" s="1098">
        <f ca="1">C50+C54+C56</f>
        <v>0</v>
      </c>
      <c r="D49" s="1099"/>
      <c r="E49" s="44"/>
      <c r="F49" s="15"/>
      <c r="I49" s="1502" t="s">
        <v>2098</v>
      </c>
      <c r="J49" s="1503" t="s">
        <v>3001</v>
      </c>
      <c r="K49" s="1504" t="s">
        <v>2099</v>
      </c>
      <c r="L49" s="863">
        <f>'数据-取费表'!B13</f>
        <v>43.42</v>
      </c>
      <c r="O49" s="1050" t="s">
        <v>953</v>
      </c>
      <c r="P49" s="1047" t="s">
        <v>2100</v>
      </c>
      <c r="Q49" s="1051">
        <f>J53</f>
        <v>7.4999999999999997E-2</v>
      </c>
      <c r="R49" s="1049"/>
    </row>
    <row r="50" spans="1:18" s="652" customFormat="1" ht="16.2"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43.42</v>
      </c>
      <c r="R50" s="1049" t="s">
        <v>2106</v>
      </c>
    </row>
    <row r="51" spans="1:18" s="652" customFormat="1" ht="16.2"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294</v>
      </c>
      <c r="R51" s="1049" t="s">
        <v>956</v>
      </c>
    </row>
    <row r="52" spans="1:18" s="652" customFormat="1" ht="16.2" thickBot="1">
      <c r="A52" s="237"/>
      <c r="B52" s="238"/>
      <c r="C52" s="239"/>
      <c r="D52" s="240"/>
      <c r="E52" s="235" t="s">
        <v>1962</v>
      </c>
      <c r="F52" s="236">
        <f>F8</f>
        <v>365</v>
      </c>
      <c r="I52" s="1507" t="s">
        <v>2109</v>
      </c>
      <c r="J52" s="1027">
        <f>IF(J50="",J51,J50+J51-YEAR('数据-取费表'!B2))</f>
        <v>41</v>
      </c>
      <c r="K52" s="1508" t="s">
        <v>2110</v>
      </c>
      <c r="L52" s="1028">
        <f ca="1">ROUND(-PV('数据-取费表'!B15,J52,(C40-C13*J35)),0)</f>
        <v>50220255</v>
      </c>
      <c r="O52" s="1040" t="s">
        <v>2111</v>
      </c>
      <c r="P52" s="1041"/>
      <c r="Q52" s="1037"/>
      <c r="R52" s="1041"/>
    </row>
    <row r="53" spans="1:18" s="652" customFormat="1" ht="16.2"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2653</v>
      </c>
      <c r="J54" s="1030">
        <f>IF(M48="住宅",IF(E1="——",MAX(J52,L49),MAX(J52,L49-'数据-取费表'!B26)),IF(E1="——",MIN(J52,L49),MIN(J52,L49-'数据-取费表'!B26)))</f>
        <v>43.42</v>
      </c>
      <c r="K54" s="3664" t="s">
        <v>2643</v>
      </c>
      <c r="L54" s="3665"/>
      <c r="O54" s="1046" t="s">
        <v>949</v>
      </c>
      <c r="P54" s="1047" t="s">
        <v>2082</v>
      </c>
      <c r="Q54" s="1048">
        <f ca="1">C40+J29</f>
        <v>2938436</v>
      </c>
      <c r="R54" s="1049" t="s">
        <v>2083</v>
      </c>
    </row>
    <row r="55" spans="1:18" s="652" customFormat="1" ht="19.2"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6" t="s">
        <v>950</v>
      </c>
      <c r="P55" s="1047" t="s">
        <v>2114</v>
      </c>
      <c r="Q55" s="1048">
        <f>L61</f>
        <v>0</v>
      </c>
      <c r="R55" s="1049" t="s">
        <v>2115</v>
      </c>
    </row>
    <row r="56" spans="1:18" s="652" customFormat="1" ht="19.2" thickBot="1">
      <c r="A56" s="1066" t="s">
        <v>1971</v>
      </c>
      <c r="B56" s="1494" t="s">
        <v>1972</v>
      </c>
      <c r="C56" s="1067"/>
      <c r="D56" s="1083"/>
      <c r="E56" s="1513"/>
      <c r="F56" s="1122"/>
      <c r="I56" s="1514" t="s">
        <v>2116</v>
      </c>
      <c r="J56" s="1289" t="e">
        <f>ROUND(IF(J48="钢混",J58/J51,1-(1-2%)*(J51-J58)/J51),3)</f>
        <v>#VALUE!</v>
      </c>
      <c r="K56" s="1515" t="s">
        <v>2117</v>
      </c>
      <c r="L56" s="1031" t="s">
        <v>3022</v>
      </c>
      <c r="O56" s="1050" t="s">
        <v>951</v>
      </c>
      <c r="P56" s="1047" t="s">
        <v>2118</v>
      </c>
      <c r="Q56" s="1048">
        <f>IF(L56="比较法",L50,IF(L56="基准地价",L51,0))</f>
        <v>0</v>
      </c>
      <c r="R56" s="1049" t="s">
        <v>2083</v>
      </c>
    </row>
    <row r="57" spans="1:18" s="652" customFormat="1" ht="48" thickTop="1" thickBot="1">
      <c r="A57" s="1062">
        <v>2</v>
      </c>
      <c r="B57" s="1063" t="s">
        <v>1973</v>
      </c>
      <c r="C57" s="1121">
        <f ca="1">C13</f>
        <v>494082</v>
      </c>
      <c r="D57" s="983"/>
      <c r="E57" s="984"/>
      <c r="F57" s="991"/>
      <c r="I57" s="1516" t="s">
        <v>2119</v>
      </c>
      <c r="J57" s="1034" t="s">
        <v>3021</v>
      </c>
      <c r="K57" s="1502" t="s">
        <v>2120</v>
      </c>
      <c r="L57" s="863">
        <f>IF(L49&lt;J52,"——",L49-J52)</f>
        <v>2.4200000000000017</v>
      </c>
      <c r="O57" s="1050" t="s">
        <v>952</v>
      </c>
      <c r="P57" s="1047" t="s">
        <v>2121</v>
      </c>
      <c r="Q57" s="1051">
        <f>L53</f>
        <v>0</v>
      </c>
      <c r="R57" s="1049"/>
    </row>
    <row r="58" spans="1:18" s="652" customFormat="1" ht="31.8" thickBot="1">
      <c r="A58" s="990"/>
      <c r="B58" s="235" t="s">
        <v>2051</v>
      </c>
      <c r="C58" s="104">
        <f ca="1">C29</f>
        <v>667678</v>
      </c>
      <c r="D58" s="983"/>
      <c r="E58" s="984"/>
      <c r="F58" s="991"/>
      <c r="I58" s="1517" t="s">
        <v>2122</v>
      </c>
      <c r="J58" s="1033" t="str">
        <f>IF(OR(M48="住宅",J52&lt;L49,J57="是"),"——",J52-L49)</f>
        <v>——</v>
      </c>
      <c r="K58" s="1502" t="s">
        <v>2123</v>
      </c>
      <c r="L58" s="863">
        <f ca="1">IF(L49&lt;J52,"——",IF(L56="比较法",L50,IF(L56="基准地价",L51,L52)))</f>
        <v>50220255</v>
      </c>
      <c r="O58" s="1050" t="s">
        <v>953</v>
      </c>
      <c r="P58" s="1047" t="s">
        <v>2124</v>
      </c>
      <c r="Q58" s="1048" t="e">
        <f>L59</f>
        <v>#DIV/0!</v>
      </c>
      <c r="R58" s="1049" t="s">
        <v>2125</v>
      </c>
    </row>
    <row r="59" spans="1:18" s="652" customFormat="1" ht="31.8" thickBot="1">
      <c r="A59" s="248" t="s">
        <v>14</v>
      </c>
      <c r="B59" s="249" t="s">
        <v>2054</v>
      </c>
      <c r="C59" s="250">
        <f ca="1">ROUND(C60+C65+C66+C67,0)</f>
        <v>66841</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31.8" thickBot="1">
      <c r="A60" s="253" t="s">
        <v>15</v>
      </c>
      <c r="B60" s="235" t="s">
        <v>1995</v>
      </c>
      <c r="C60" s="2794">
        <f ca="1">ROUND(IF(AND(项目基本情况!B7="自然人",项目基本情况!B6="北京市"),C50*F60/(1+'数据-取费表'!F30),C61+C62+C63),0)</f>
        <v>56085</v>
      </c>
      <c r="D60" s="1297" t="s">
        <v>2056</v>
      </c>
      <c r="E60" s="1300" t="s">
        <v>2057</v>
      </c>
      <c r="F60" s="2793"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294</v>
      </c>
      <c r="R60" s="1049" t="s">
        <v>956</v>
      </c>
    </row>
    <row r="61" spans="1:18" s="652" customFormat="1" ht="16.2" thickBot="1">
      <c r="A61" s="253" t="s">
        <v>16</v>
      </c>
      <c r="B61" s="235" t="s">
        <v>2058</v>
      </c>
      <c r="C61" s="13">
        <f ca="1">IF(项目基本情况!B7="自然人","——",ROUND(C49*F61/(1+'数据-取费表'!F30),0))</f>
        <v>0</v>
      </c>
      <c r="D61" s="1300" t="s">
        <v>2059</v>
      </c>
      <c r="E61" s="235" t="s">
        <v>2008</v>
      </c>
      <c r="F61" s="267">
        <f t="shared" ref="F61:F67" si="0">F32</f>
        <v>5.6000000000000001E-2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6.2" thickBot="1">
      <c r="A62" s="253" t="s">
        <v>17</v>
      </c>
      <c r="B62" s="235" t="s">
        <v>2133</v>
      </c>
      <c r="C62" s="13">
        <f ca="1">IF(项目基本情况!B7="自然人","——",IF(D62="按租金收入计税",ROUND(C50*F62/(1+'数据-取费表'!F30),0),IF(D62="按房产原值计税",ROUND(C58*F62*0.7,0),'数据-取费表'!B44)))</f>
        <v>56085</v>
      </c>
      <c r="D62" s="1405" t="s">
        <v>2005</v>
      </c>
      <c r="E62" s="235" t="s">
        <v>2008</v>
      </c>
      <c r="F62" s="258">
        <f t="shared" si="0"/>
        <v>0.12</v>
      </c>
      <c r="O62" s="1042" t="s">
        <v>2078</v>
      </c>
      <c r="P62" s="1043" t="s">
        <v>2079</v>
      </c>
      <c r="Q62" s="1044" t="s">
        <v>2080</v>
      </c>
      <c r="R62" s="1045" t="s">
        <v>2081</v>
      </c>
    </row>
    <row r="63" spans="1:18" s="652" customFormat="1" ht="16.2"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2938436</v>
      </c>
      <c r="R63" s="1049" t="s">
        <v>2083</v>
      </c>
    </row>
    <row r="64" spans="1:18" s="652" customFormat="1" ht="19.2"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1.6" thickBot="1">
      <c r="A65" s="253" t="s">
        <v>19</v>
      </c>
      <c r="B65" s="235" t="s">
        <v>2063</v>
      </c>
      <c r="C65" s="13">
        <f ca="1">ROUND(C58*F65,0)</f>
        <v>10015</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50220255</v>
      </c>
      <c r="R65" s="1053" t="s">
        <v>2145</v>
      </c>
    </row>
    <row r="66" spans="1:18" s="652" customFormat="1" ht="19.2" thickBot="1">
      <c r="A66" s="253" t="s">
        <v>20</v>
      </c>
      <c r="B66" s="235" t="s">
        <v>2023</v>
      </c>
      <c r="C66" s="13">
        <f ca="1">ROUND(C57*F66,0)</f>
        <v>741</v>
      </c>
      <c r="D66" s="1300" t="s">
        <v>2024</v>
      </c>
      <c r="E66" s="235" t="s">
        <v>2025</v>
      </c>
      <c r="F66" s="266">
        <f t="shared" si="0"/>
        <v>1.5E-3</v>
      </c>
      <c r="I66" s="1520" t="s">
        <v>2146</v>
      </c>
      <c r="J66" s="1292">
        <v>40</v>
      </c>
      <c r="K66" s="1292">
        <v>30</v>
      </c>
      <c r="L66" s="1292">
        <v>50</v>
      </c>
      <c r="M66" s="1290">
        <v>0.02</v>
      </c>
      <c r="O66" s="1050" t="s">
        <v>952</v>
      </c>
      <c r="P66" s="1054" t="s">
        <v>2147</v>
      </c>
      <c r="Q66" s="1048">
        <f ca="1">ROUND(Q67-Q68*Q69,0)</f>
        <v>88837</v>
      </c>
      <c r="R66" s="1049"/>
    </row>
    <row r="67" spans="1:18" s="652" customFormat="1" ht="16.2" thickBot="1">
      <c r="A67" s="253" t="s">
        <v>21</v>
      </c>
      <c r="B67" s="235" t="s">
        <v>2006</v>
      </c>
      <c r="C67" s="13">
        <f ca="1">ROUND(C49*F67,0)</f>
        <v>0</v>
      </c>
      <c r="D67" s="1300" t="s">
        <v>2029</v>
      </c>
      <c r="E67" s="235" t="s">
        <v>2025</v>
      </c>
      <c r="F67" s="245">
        <f t="shared" si="0"/>
        <v>0.02</v>
      </c>
      <c r="O67" s="1050" t="s">
        <v>957</v>
      </c>
      <c r="P67" s="1054" t="s">
        <v>2148</v>
      </c>
      <c r="Q67" s="1048">
        <f ca="1">C39</f>
        <v>123423</v>
      </c>
      <c r="R67" s="1049" t="s">
        <v>2083</v>
      </c>
    </row>
    <row r="68" spans="1:18" ht="24.6" thickBot="1">
      <c r="A68" s="248" t="s">
        <v>22</v>
      </c>
      <c r="B68" s="41" t="s">
        <v>2033</v>
      </c>
      <c r="C68" s="250">
        <f ca="1">C49-C59</f>
        <v>-66841</v>
      </c>
      <c r="D68" s="1297" t="s">
        <v>2034</v>
      </c>
      <c r="E68" s="1299"/>
      <c r="F68" s="268"/>
      <c r="H68" s="652"/>
      <c r="I68" s="652"/>
      <c r="J68" s="652"/>
      <c r="K68" s="652"/>
      <c r="L68" s="652"/>
      <c r="M68" s="652"/>
      <c r="O68" s="1050" t="s">
        <v>958</v>
      </c>
      <c r="P68" s="1054" t="s">
        <v>2149</v>
      </c>
      <c r="Q68" s="1048">
        <f ca="1">C13</f>
        <v>494082</v>
      </c>
      <c r="R68" s="1049" t="s">
        <v>2083</v>
      </c>
    </row>
    <row r="69" spans="1:18" ht="16.2" thickBot="1">
      <c r="A69" s="232" t="s">
        <v>23</v>
      </c>
      <c r="B69" s="233" t="s">
        <v>2071</v>
      </c>
      <c r="C69" s="234">
        <f ca="1">ROUND(C68*(1-((1+F71)/(1+F69))^F70)/(F69-F71),0)</f>
        <v>-1096425</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6.2" thickBot="1">
      <c r="A70" s="237"/>
      <c r="B70" s="238"/>
      <c r="C70" s="239"/>
      <c r="D70" s="269" t="s">
        <v>2073</v>
      </c>
      <c r="E70" s="235" t="s">
        <v>2045</v>
      </c>
      <c r="F70" s="270">
        <f>F41</f>
        <v>43.42</v>
      </c>
      <c r="H70" s="652"/>
      <c r="I70" s="652"/>
      <c r="J70" s="652"/>
      <c r="K70" s="652"/>
      <c r="L70" s="652"/>
      <c r="M70" s="652"/>
      <c r="O70" s="1050" t="s">
        <v>953</v>
      </c>
      <c r="P70" s="1047" t="s">
        <v>2121</v>
      </c>
      <c r="Q70" s="1051">
        <f>L53</f>
        <v>0</v>
      </c>
      <c r="R70" s="1049"/>
    </row>
    <row r="71" spans="1:18" ht="19.2" thickBot="1">
      <c r="A71" s="241"/>
      <c r="B71" s="242"/>
      <c r="C71" s="243"/>
      <c r="D71" s="264"/>
      <c r="E71" s="235" t="s">
        <v>2049</v>
      </c>
      <c r="F71" s="1035"/>
      <c r="H71" s="652"/>
      <c r="M71" s="652"/>
      <c r="O71" s="1050" t="s">
        <v>954</v>
      </c>
      <c r="P71" s="1047" t="s">
        <v>2124</v>
      </c>
      <c r="Q71" s="1048" t="e">
        <f>L59</f>
        <v>#DIV/0!</v>
      </c>
      <c r="R71" s="1049" t="s">
        <v>2125</v>
      </c>
    </row>
    <row r="72" spans="1:18" ht="16.2" thickBot="1">
      <c r="A72" s="271" t="s">
        <v>24</v>
      </c>
      <c r="B72" s="272" t="s">
        <v>2074</v>
      </c>
      <c r="C72" s="273">
        <f ca="1">ROUND(C69/F72,0)</f>
        <v>-8736</v>
      </c>
      <c r="D72" s="274" t="s">
        <v>2075</v>
      </c>
      <c r="E72" s="275" t="s">
        <v>2076</v>
      </c>
      <c r="F72" s="276">
        <f>F43</f>
        <v>125.51</v>
      </c>
      <c r="O72" s="1050" t="s">
        <v>960</v>
      </c>
      <c r="P72" s="1047" t="str">
        <f>K60</f>
        <v>建筑物剩余耐用年限下的土地年期修正系数Kn</v>
      </c>
      <c r="Q72" s="1048" t="e">
        <f>L60</f>
        <v>#DIV/0!</v>
      </c>
      <c r="R72" s="1049" t="s">
        <v>2128</v>
      </c>
    </row>
    <row r="73" spans="1:18" ht="15.6" thickBot="1">
      <c r="A73" s="652"/>
      <c r="B73" s="656"/>
      <c r="C73" s="656"/>
      <c r="D73" s="652"/>
      <c r="E73" s="652"/>
      <c r="F73" s="652"/>
      <c r="O73" s="1046" t="s">
        <v>955</v>
      </c>
      <c r="P73" s="1047" t="str">
        <f>IF(C2="元","收益价值(元)","收益价值(万元)")</f>
        <v>收益价值(万元)</v>
      </c>
      <c r="Q73" s="1048">
        <f ca="1">ROUND(IF(C2="元",Q63+Q64,(Q63+Q64)/10000),0)</f>
        <v>294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5" customWidth="1"/>
    <col min="2" max="2" width="8.88671875" style="3135"/>
    <col min="3" max="5" width="12.88671875" style="3135" customWidth="1"/>
    <col min="6" max="6" width="47.44140625" style="3135" customWidth="1"/>
    <col min="7" max="7" width="13" style="3308" customWidth="1"/>
    <col min="8" max="8" width="8.88671875" style="3228"/>
    <col min="9" max="9" width="8.88671875" style="3229"/>
    <col min="10" max="10" width="5.77734375" style="3309" customWidth="1"/>
    <col min="11" max="11" width="11.77734375" style="3309" customWidth="1"/>
    <col min="12" max="13" width="10.77734375" style="3309" customWidth="1"/>
    <col min="14" max="14" width="10" style="3309" customWidth="1"/>
    <col min="15" max="16" width="10.44140625" style="3309" bestFit="1" customWidth="1"/>
    <col min="17" max="17" width="10" style="3309" customWidth="1"/>
    <col min="18" max="18" width="10.109375" style="3309" customWidth="1"/>
    <col min="19" max="19" width="10" style="3309" customWidth="1"/>
    <col min="20" max="20" width="26.109375" style="3309" customWidth="1"/>
    <col min="21" max="21" width="8.88671875" style="3309"/>
    <col min="22" max="22" width="8.88671875" style="3229"/>
    <col min="23" max="23" width="8.88671875" style="3228"/>
    <col min="24" max="256" width="8.88671875" style="3135"/>
    <col min="257" max="257" width="9.44140625" style="3135" customWidth="1"/>
    <col min="258" max="258" width="8.88671875" style="3135"/>
    <col min="259" max="261" width="12.88671875" style="3135" customWidth="1"/>
    <col min="262" max="262" width="47.44140625" style="3135" customWidth="1"/>
    <col min="263" max="263" width="13" style="3135" customWidth="1"/>
    <col min="264" max="265" width="8.88671875" style="3135"/>
    <col min="266" max="266" width="5.77734375" style="3135" customWidth="1"/>
    <col min="267" max="267" width="11.77734375" style="3135" customWidth="1"/>
    <col min="268" max="269" width="10.77734375" style="3135" customWidth="1"/>
    <col min="270" max="270" width="10" style="3135" customWidth="1"/>
    <col min="271" max="272" width="10.44140625" style="3135" bestFit="1" customWidth="1"/>
    <col min="273" max="273" width="10" style="3135" customWidth="1"/>
    <col min="274" max="274" width="10.109375" style="3135" customWidth="1"/>
    <col min="275" max="275" width="10" style="3135" customWidth="1"/>
    <col min="276" max="276" width="26.109375" style="3135" customWidth="1"/>
    <col min="277" max="512" width="8.88671875" style="3135"/>
    <col min="513" max="513" width="9.44140625" style="3135" customWidth="1"/>
    <col min="514" max="514" width="8.88671875" style="3135"/>
    <col min="515" max="517" width="12.88671875" style="3135" customWidth="1"/>
    <col min="518" max="518" width="47.44140625" style="3135" customWidth="1"/>
    <col min="519" max="519" width="13" style="3135" customWidth="1"/>
    <col min="520" max="521" width="8.88671875" style="3135"/>
    <col min="522" max="522" width="5.77734375" style="3135" customWidth="1"/>
    <col min="523" max="523" width="11.77734375" style="3135" customWidth="1"/>
    <col min="524" max="525" width="10.77734375" style="3135" customWidth="1"/>
    <col min="526" max="526" width="10" style="3135" customWidth="1"/>
    <col min="527" max="528" width="10.44140625" style="3135" bestFit="1" customWidth="1"/>
    <col min="529" max="529" width="10" style="3135" customWidth="1"/>
    <col min="530" max="530" width="10.109375" style="3135" customWidth="1"/>
    <col min="531" max="531" width="10" style="3135" customWidth="1"/>
    <col min="532" max="532" width="26.109375" style="3135" customWidth="1"/>
    <col min="533" max="768" width="8.88671875" style="3135"/>
    <col min="769" max="769" width="9.44140625" style="3135" customWidth="1"/>
    <col min="770" max="770" width="8.88671875" style="3135"/>
    <col min="771" max="773" width="12.88671875" style="3135" customWidth="1"/>
    <col min="774" max="774" width="47.44140625" style="3135" customWidth="1"/>
    <col min="775" max="775" width="13" style="3135" customWidth="1"/>
    <col min="776" max="777" width="8.88671875" style="3135"/>
    <col min="778" max="778" width="5.77734375" style="3135" customWidth="1"/>
    <col min="779" max="779" width="11.77734375" style="3135" customWidth="1"/>
    <col min="780" max="781" width="10.77734375" style="3135" customWidth="1"/>
    <col min="782" max="782" width="10" style="3135" customWidth="1"/>
    <col min="783" max="784" width="10.44140625" style="3135" bestFit="1" customWidth="1"/>
    <col min="785" max="785" width="10" style="3135" customWidth="1"/>
    <col min="786" max="786" width="10.109375" style="3135" customWidth="1"/>
    <col min="787" max="787" width="10" style="3135" customWidth="1"/>
    <col min="788" max="788" width="26.109375" style="3135" customWidth="1"/>
    <col min="789" max="1024" width="8.88671875" style="3135"/>
    <col min="1025" max="1025" width="9.44140625" style="3135" customWidth="1"/>
    <col min="1026" max="1026" width="8.88671875" style="3135"/>
    <col min="1027" max="1029" width="12.88671875" style="3135" customWidth="1"/>
    <col min="1030" max="1030" width="47.44140625" style="3135" customWidth="1"/>
    <col min="1031" max="1031" width="13" style="3135" customWidth="1"/>
    <col min="1032" max="1033" width="8.88671875" style="3135"/>
    <col min="1034" max="1034" width="5.77734375" style="3135" customWidth="1"/>
    <col min="1035" max="1035" width="11.77734375" style="3135" customWidth="1"/>
    <col min="1036" max="1037" width="10.77734375" style="3135" customWidth="1"/>
    <col min="1038" max="1038" width="10" style="3135" customWidth="1"/>
    <col min="1039" max="1040" width="10.44140625" style="3135" bestFit="1" customWidth="1"/>
    <col min="1041" max="1041" width="10" style="3135" customWidth="1"/>
    <col min="1042" max="1042" width="10.109375" style="3135" customWidth="1"/>
    <col min="1043" max="1043" width="10" style="3135" customWidth="1"/>
    <col min="1044" max="1044" width="26.109375" style="3135" customWidth="1"/>
    <col min="1045" max="1280" width="8.88671875" style="3135"/>
    <col min="1281" max="1281" width="9.44140625" style="3135" customWidth="1"/>
    <col min="1282" max="1282" width="8.88671875" style="3135"/>
    <col min="1283" max="1285" width="12.88671875" style="3135" customWidth="1"/>
    <col min="1286" max="1286" width="47.44140625" style="3135" customWidth="1"/>
    <col min="1287" max="1287" width="13" style="3135" customWidth="1"/>
    <col min="1288" max="1289" width="8.88671875" style="3135"/>
    <col min="1290" max="1290" width="5.77734375" style="3135" customWidth="1"/>
    <col min="1291" max="1291" width="11.77734375" style="3135" customWidth="1"/>
    <col min="1292" max="1293" width="10.77734375" style="3135" customWidth="1"/>
    <col min="1294" max="1294" width="10" style="3135" customWidth="1"/>
    <col min="1295" max="1296" width="10.44140625" style="3135" bestFit="1" customWidth="1"/>
    <col min="1297" max="1297" width="10" style="3135" customWidth="1"/>
    <col min="1298" max="1298" width="10.109375" style="3135" customWidth="1"/>
    <col min="1299" max="1299" width="10" style="3135" customWidth="1"/>
    <col min="1300" max="1300" width="26.109375" style="3135" customWidth="1"/>
    <col min="1301" max="1536" width="8.88671875" style="3135"/>
    <col min="1537" max="1537" width="9.44140625" style="3135" customWidth="1"/>
    <col min="1538" max="1538" width="8.88671875" style="3135"/>
    <col min="1539" max="1541" width="12.88671875" style="3135" customWidth="1"/>
    <col min="1542" max="1542" width="47.44140625" style="3135" customWidth="1"/>
    <col min="1543" max="1543" width="13" style="3135" customWidth="1"/>
    <col min="1544" max="1545" width="8.88671875" style="3135"/>
    <col min="1546" max="1546" width="5.77734375" style="3135" customWidth="1"/>
    <col min="1547" max="1547" width="11.77734375" style="3135" customWidth="1"/>
    <col min="1548" max="1549" width="10.77734375" style="3135" customWidth="1"/>
    <col min="1550" max="1550" width="10" style="3135" customWidth="1"/>
    <col min="1551" max="1552" width="10.44140625" style="3135" bestFit="1" customWidth="1"/>
    <col min="1553" max="1553" width="10" style="3135" customWidth="1"/>
    <col min="1554" max="1554" width="10.109375" style="3135" customWidth="1"/>
    <col min="1555" max="1555" width="10" style="3135" customWidth="1"/>
    <col min="1556" max="1556" width="26.109375" style="3135" customWidth="1"/>
    <col min="1557" max="1792" width="8.88671875" style="3135"/>
    <col min="1793" max="1793" width="9.44140625" style="3135" customWidth="1"/>
    <col min="1794" max="1794" width="8.88671875" style="3135"/>
    <col min="1795" max="1797" width="12.88671875" style="3135" customWidth="1"/>
    <col min="1798" max="1798" width="47.44140625" style="3135" customWidth="1"/>
    <col min="1799" max="1799" width="13" style="3135" customWidth="1"/>
    <col min="1800" max="1801" width="8.88671875" style="3135"/>
    <col min="1802" max="1802" width="5.77734375" style="3135" customWidth="1"/>
    <col min="1803" max="1803" width="11.77734375" style="3135" customWidth="1"/>
    <col min="1804" max="1805" width="10.77734375" style="3135" customWidth="1"/>
    <col min="1806" max="1806" width="10" style="3135" customWidth="1"/>
    <col min="1807" max="1808" width="10.44140625" style="3135" bestFit="1" customWidth="1"/>
    <col min="1809" max="1809" width="10" style="3135" customWidth="1"/>
    <col min="1810" max="1810" width="10.109375" style="3135" customWidth="1"/>
    <col min="1811" max="1811" width="10" style="3135" customWidth="1"/>
    <col min="1812" max="1812" width="26.109375" style="3135" customWidth="1"/>
    <col min="1813" max="2048" width="8.88671875" style="3135"/>
    <col min="2049" max="2049" width="9.44140625" style="3135" customWidth="1"/>
    <col min="2050" max="2050" width="8.88671875" style="3135"/>
    <col min="2051" max="2053" width="12.88671875" style="3135" customWidth="1"/>
    <col min="2054" max="2054" width="47.44140625" style="3135" customWidth="1"/>
    <col min="2055" max="2055" width="13" style="3135" customWidth="1"/>
    <col min="2056" max="2057" width="8.88671875" style="3135"/>
    <col min="2058" max="2058" width="5.77734375" style="3135" customWidth="1"/>
    <col min="2059" max="2059" width="11.77734375" style="3135" customWidth="1"/>
    <col min="2060" max="2061" width="10.77734375" style="3135" customWidth="1"/>
    <col min="2062" max="2062" width="10" style="3135" customWidth="1"/>
    <col min="2063" max="2064" width="10.44140625" style="3135" bestFit="1" customWidth="1"/>
    <col min="2065" max="2065" width="10" style="3135" customWidth="1"/>
    <col min="2066" max="2066" width="10.109375" style="3135" customWidth="1"/>
    <col min="2067" max="2067" width="10" style="3135" customWidth="1"/>
    <col min="2068" max="2068" width="26.109375" style="3135" customWidth="1"/>
    <col min="2069" max="2304" width="8.88671875" style="3135"/>
    <col min="2305" max="2305" width="9.44140625" style="3135" customWidth="1"/>
    <col min="2306" max="2306" width="8.88671875" style="3135"/>
    <col min="2307" max="2309" width="12.88671875" style="3135" customWidth="1"/>
    <col min="2310" max="2310" width="47.44140625" style="3135" customWidth="1"/>
    <col min="2311" max="2311" width="13" style="3135" customWidth="1"/>
    <col min="2312" max="2313" width="8.88671875" style="3135"/>
    <col min="2314" max="2314" width="5.77734375" style="3135" customWidth="1"/>
    <col min="2315" max="2315" width="11.77734375" style="3135" customWidth="1"/>
    <col min="2316" max="2317" width="10.77734375" style="3135" customWidth="1"/>
    <col min="2318" max="2318" width="10" style="3135" customWidth="1"/>
    <col min="2319" max="2320" width="10.44140625" style="3135" bestFit="1" customWidth="1"/>
    <col min="2321" max="2321" width="10" style="3135" customWidth="1"/>
    <col min="2322" max="2322" width="10.109375" style="3135" customWidth="1"/>
    <col min="2323" max="2323" width="10" style="3135" customWidth="1"/>
    <col min="2324" max="2324" width="26.109375" style="3135" customWidth="1"/>
    <col min="2325" max="2560" width="8.88671875" style="3135"/>
    <col min="2561" max="2561" width="9.44140625" style="3135" customWidth="1"/>
    <col min="2562" max="2562" width="8.88671875" style="3135"/>
    <col min="2563" max="2565" width="12.88671875" style="3135" customWidth="1"/>
    <col min="2566" max="2566" width="47.44140625" style="3135" customWidth="1"/>
    <col min="2567" max="2567" width="13" style="3135" customWidth="1"/>
    <col min="2568" max="2569" width="8.88671875" style="3135"/>
    <col min="2570" max="2570" width="5.77734375" style="3135" customWidth="1"/>
    <col min="2571" max="2571" width="11.77734375" style="3135" customWidth="1"/>
    <col min="2572" max="2573" width="10.77734375" style="3135" customWidth="1"/>
    <col min="2574" max="2574" width="10" style="3135" customWidth="1"/>
    <col min="2575" max="2576" width="10.44140625" style="3135" bestFit="1" customWidth="1"/>
    <col min="2577" max="2577" width="10" style="3135" customWidth="1"/>
    <col min="2578" max="2578" width="10.109375" style="3135" customWidth="1"/>
    <col min="2579" max="2579" width="10" style="3135" customWidth="1"/>
    <col min="2580" max="2580" width="26.109375" style="3135" customWidth="1"/>
    <col min="2581" max="2816" width="8.88671875" style="3135"/>
    <col min="2817" max="2817" width="9.44140625" style="3135" customWidth="1"/>
    <col min="2818" max="2818" width="8.88671875" style="3135"/>
    <col min="2819" max="2821" width="12.88671875" style="3135" customWidth="1"/>
    <col min="2822" max="2822" width="47.44140625" style="3135" customWidth="1"/>
    <col min="2823" max="2823" width="13" style="3135" customWidth="1"/>
    <col min="2824" max="2825" width="8.88671875" style="3135"/>
    <col min="2826" max="2826" width="5.77734375" style="3135" customWidth="1"/>
    <col min="2827" max="2827" width="11.77734375" style="3135" customWidth="1"/>
    <col min="2828" max="2829" width="10.77734375" style="3135" customWidth="1"/>
    <col min="2830" max="2830" width="10" style="3135" customWidth="1"/>
    <col min="2831" max="2832" width="10.44140625" style="3135" bestFit="1" customWidth="1"/>
    <col min="2833" max="2833" width="10" style="3135" customWidth="1"/>
    <col min="2834" max="2834" width="10.109375" style="3135" customWidth="1"/>
    <col min="2835" max="2835" width="10" style="3135" customWidth="1"/>
    <col min="2836" max="2836" width="26.109375" style="3135" customWidth="1"/>
    <col min="2837" max="3072" width="8.88671875" style="3135"/>
    <col min="3073" max="3073" width="9.44140625" style="3135" customWidth="1"/>
    <col min="3074" max="3074" width="8.88671875" style="3135"/>
    <col min="3075" max="3077" width="12.88671875" style="3135" customWidth="1"/>
    <col min="3078" max="3078" width="47.44140625" style="3135" customWidth="1"/>
    <col min="3079" max="3079" width="13" style="3135" customWidth="1"/>
    <col min="3080" max="3081" width="8.88671875" style="3135"/>
    <col min="3082" max="3082" width="5.77734375" style="3135" customWidth="1"/>
    <col min="3083" max="3083" width="11.77734375" style="3135" customWidth="1"/>
    <col min="3084" max="3085" width="10.77734375" style="3135" customWidth="1"/>
    <col min="3086" max="3086" width="10" style="3135" customWidth="1"/>
    <col min="3087" max="3088" width="10.44140625" style="3135" bestFit="1" customWidth="1"/>
    <col min="3089" max="3089" width="10" style="3135" customWidth="1"/>
    <col min="3090" max="3090" width="10.109375" style="3135" customWidth="1"/>
    <col min="3091" max="3091" width="10" style="3135" customWidth="1"/>
    <col min="3092" max="3092" width="26.109375" style="3135" customWidth="1"/>
    <col min="3093" max="3328" width="8.88671875" style="3135"/>
    <col min="3329" max="3329" width="9.44140625" style="3135" customWidth="1"/>
    <col min="3330" max="3330" width="8.88671875" style="3135"/>
    <col min="3331" max="3333" width="12.88671875" style="3135" customWidth="1"/>
    <col min="3334" max="3334" width="47.44140625" style="3135" customWidth="1"/>
    <col min="3335" max="3335" width="13" style="3135" customWidth="1"/>
    <col min="3336" max="3337" width="8.88671875" style="3135"/>
    <col min="3338" max="3338" width="5.77734375" style="3135" customWidth="1"/>
    <col min="3339" max="3339" width="11.77734375" style="3135" customWidth="1"/>
    <col min="3340" max="3341" width="10.77734375" style="3135" customWidth="1"/>
    <col min="3342" max="3342" width="10" style="3135" customWidth="1"/>
    <col min="3343" max="3344" width="10.44140625" style="3135" bestFit="1" customWidth="1"/>
    <col min="3345" max="3345" width="10" style="3135" customWidth="1"/>
    <col min="3346" max="3346" width="10.109375" style="3135" customWidth="1"/>
    <col min="3347" max="3347" width="10" style="3135" customWidth="1"/>
    <col min="3348" max="3348" width="26.109375" style="3135" customWidth="1"/>
    <col min="3349" max="3584" width="8.88671875" style="3135"/>
    <col min="3585" max="3585" width="9.44140625" style="3135" customWidth="1"/>
    <col min="3586" max="3586" width="8.88671875" style="3135"/>
    <col min="3587" max="3589" width="12.88671875" style="3135" customWidth="1"/>
    <col min="3590" max="3590" width="47.44140625" style="3135" customWidth="1"/>
    <col min="3591" max="3591" width="13" style="3135" customWidth="1"/>
    <col min="3592" max="3593" width="8.88671875" style="3135"/>
    <col min="3594" max="3594" width="5.77734375" style="3135" customWidth="1"/>
    <col min="3595" max="3595" width="11.77734375" style="3135" customWidth="1"/>
    <col min="3596" max="3597" width="10.77734375" style="3135" customWidth="1"/>
    <col min="3598" max="3598" width="10" style="3135" customWidth="1"/>
    <col min="3599" max="3600" width="10.44140625" style="3135" bestFit="1" customWidth="1"/>
    <col min="3601" max="3601" width="10" style="3135" customWidth="1"/>
    <col min="3602" max="3602" width="10.109375" style="3135" customWidth="1"/>
    <col min="3603" max="3603" width="10" style="3135" customWidth="1"/>
    <col min="3604" max="3604" width="26.109375" style="3135" customWidth="1"/>
    <col min="3605" max="3840" width="8.88671875" style="3135"/>
    <col min="3841" max="3841" width="9.44140625" style="3135" customWidth="1"/>
    <col min="3842" max="3842" width="8.88671875" style="3135"/>
    <col min="3843" max="3845" width="12.88671875" style="3135" customWidth="1"/>
    <col min="3846" max="3846" width="47.44140625" style="3135" customWidth="1"/>
    <col min="3847" max="3847" width="13" style="3135" customWidth="1"/>
    <col min="3848" max="3849" width="8.88671875" style="3135"/>
    <col min="3850" max="3850" width="5.77734375" style="3135" customWidth="1"/>
    <col min="3851" max="3851" width="11.77734375" style="3135" customWidth="1"/>
    <col min="3852" max="3853" width="10.77734375" style="3135" customWidth="1"/>
    <col min="3854" max="3854" width="10" style="3135" customWidth="1"/>
    <col min="3855" max="3856" width="10.44140625" style="3135" bestFit="1" customWidth="1"/>
    <col min="3857" max="3857" width="10" style="3135" customWidth="1"/>
    <col min="3858" max="3858" width="10.109375" style="3135" customWidth="1"/>
    <col min="3859" max="3859" width="10" style="3135" customWidth="1"/>
    <col min="3860" max="3860" width="26.109375" style="3135" customWidth="1"/>
    <col min="3861" max="4096" width="8.88671875" style="3135"/>
    <col min="4097" max="4097" width="9.44140625" style="3135" customWidth="1"/>
    <col min="4098" max="4098" width="8.88671875" style="3135"/>
    <col min="4099" max="4101" width="12.88671875" style="3135" customWidth="1"/>
    <col min="4102" max="4102" width="47.44140625" style="3135" customWidth="1"/>
    <col min="4103" max="4103" width="13" style="3135" customWidth="1"/>
    <col min="4104" max="4105" width="8.88671875" style="3135"/>
    <col min="4106" max="4106" width="5.77734375" style="3135" customWidth="1"/>
    <col min="4107" max="4107" width="11.77734375" style="3135" customWidth="1"/>
    <col min="4108" max="4109" width="10.77734375" style="3135" customWidth="1"/>
    <col min="4110" max="4110" width="10" style="3135" customWidth="1"/>
    <col min="4111" max="4112" width="10.44140625" style="3135" bestFit="1" customWidth="1"/>
    <col min="4113" max="4113" width="10" style="3135" customWidth="1"/>
    <col min="4114" max="4114" width="10.109375" style="3135" customWidth="1"/>
    <col min="4115" max="4115" width="10" style="3135" customWidth="1"/>
    <col min="4116" max="4116" width="26.109375" style="3135" customWidth="1"/>
    <col min="4117" max="4352" width="8.88671875" style="3135"/>
    <col min="4353" max="4353" width="9.44140625" style="3135" customWidth="1"/>
    <col min="4354" max="4354" width="8.88671875" style="3135"/>
    <col min="4355" max="4357" width="12.88671875" style="3135" customWidth="1"/>
    <col min="4358" max="4358" width="47.44140625" style="3135" customWidth="1"/>
    <col min="4359" max="4359" width="13" style="3135" customWidth="1"/>
    <col min="4360" max="4361" width="8.88671875" style="3135"/>
    <col min="4362" max="4362" width="5.77734375" style="3135" customWidth="1"/>
    <col min="4363" max="4363" width="11.77734375" style="3135" customWidth="1"/>
    <col min="4364" max="4365" width="10.77734375" style="3135" customWidth="1"/>
    <col min="4366" max="4366" width="10" style="3135" customWidth="1"/>
    <col min="4367" max="4368" width="10.44140625" style="3135" bestFit="1" customWidth="1"/>
    <col min="4369" max="4369" width="10" style="3135" customWidth="1"/>
    <col min="4370" max="4370" width="10.109375" style="3135" customWidth="1"/>
    <col min="4371" max="4371" width="10" style="3135" customWidth="1"/>
    <col min="4372" max="4372" width="26.109375" style="3135" customWidth="1"/>
    <col min="4373" max="4608" width="8.88671875" style="3135"/>
    <col min="4609" max="4609" width="9.44140625" style="3135" customWidth="1"/>
    <col min="4610" max="4610" width="8.88671875" style="3135"/>
    <col min="4611" max="4613" width="12.88671875" style="3135" customWidth="1"/>
    <col min="4614" max="4614" width="47.44140625" style="3135" customWidth="1"/>
    <col min="4615" max="4615" width="13" style="3135" customWidth="1"/>
    <col min="4616" max="4617" width="8.88671875" style="3135"/>
    <col min="4618" max="4618" width="5.77734375" style="3135" customWidth="1"/>
    <col min="4619" max="4619" width="11.77734375" style="3135" customWidth="1"/>
    <col min="4620" max="4621" width="10.77734375" style="3135" customWidth="1"/>
    <col min="4622" max="4622" width="10" style="3135" customWidth="1"/>
    <col min="4623" max="4624" width="10.44140625" style="3135" bestFit="1" customWidth="1"/>
    <col min="4625" max="4625" width="10" style="3135" customWidth="1"/>
    <col min="4626" max="4626" width="10.109375" style="3135" customWidth="1"/>
    <col min="4627" max="4627" width="10" style="3135" customWidth="1"/>
    <col min="4628" max="4628" width="26.109375" style="3135" customWidth="1"/>
    <col min="4629" max="4864" width="8.88671875" style="3135"/>
    <col min="4865" max="4865" width="9.44140625" style="3135" customWidth="1"/>
    <col min="4866" max="4866" width="8.88671875" style="3135"/>
    <col min="4867" max="4869" width="12.88671875" style="3135" customWidth="1"/>
    <col min="4870" max="4870" width="47.44140625" style="3135" customWidth="1"/>
    <col min="4871" max="4871" width="13" style="3135" customWidth="1"/>
    <col min="4872" max="4873" width="8.88671875" style="3135"/>
    <col min="4874" max="4874" width="5.77734375" style="3135" customWidth="1"/>
    <col min="4875" max="4875" width="11.77734375" style="3135" customWidth="1"/>
    <col min="4876" max="4877" width="10.77734375" style="3135" customWidth="1"/>
    <col min="4878" max="4878" width="10" style="3135" customWidth="1"/>
    <col min="4879" max="4880" width="10.44140625" style="3135" bestFit="1" customWidth="1"/>
    <col min="4881" max="4881" width="10" style="3135" customWidth="1"/>
    <col min="4882" max="4882" width="10.109375" style="3135" customWidth="1"/>
    <col min="4883" max="4883" width="10" style="3135" customWidth="1"/>
    <col min="4884" max="4884" width="26.109375" style="3135" customWidth="1"/>
    <col min="4885" max="5120" width="8.88671875" style="3135"/>
    <col min="5121" max="5121" width="9.44140625" style="3135" customWidth="1"/>
    <col min="5122" max="5122" width="8.88671875" style="3135"/>
    <col min="5123" max="5125" width="12.88671875" style="3135" customWidth="1"/>
    <col min="5126" max="5126" width="47.44140625" style="3135" customWidth="1"/>
    <col min="5127" max="5127" width="13" style="3135" customWidth="1"/>
    <col min="5128" max="5129" width="8.88671875" style="3135"/>
    <col min="5130" max="5130" width="5.77734375" style="3135" customWidth="1"/>
    <col min="5131" max="5131" width="11.77734375" style="3135" customWidth="1"/>
    <col min="5132" max="5133" width="10.77734375" style="3135" customWidth="1"/>
    <col min="5134" max="5134" width="10" style="3135" customWidth="1"/>
    <col min="5135" max="5136" width="10.44140625" style="3135" bestFit="1" customWidth="1"/>
    <col min="5137" max="5137" width="10" style="3135" customWidth="1"/>
    <col min="5138" max="5138" width="10.109375" style="3135" customWidth="1"/>
    <col min="5139" max="5139" width="10" style="3135" customWidth="1"/>
    <col min="5140" max="5140" width="26.109375" style="3135" customWidth="1"/>
    <col min="5141" max="5376" width="8.88671875" style="3135"/>
    <col min="5377" max="5377" width="9.44140625" style="3135" customWidth="1"/>
    <col min="5378" max="5378" width="8.88671875" style="3135"/>
    <col min="5379" max="5381" width="12.88671875" style="3135" customWidth="1"/>
    <col min="5382" max="5382" width="47.44140625" style="3135" customWidth="1"/>
    <col min="5383" max="5383" width="13" style="3135" customWidth="1"/>
    <col min="5384" max="5385" width="8.88671875" style="3135"/>
    <col min="5386" max="5386" width="5.77734375" style="3135" customWidth="1"/>
    <col min="5387" max="5387" width="11.77734375" style="3135" customWidth="1"/>
    <col min="5388" max="5389" width="10.77734375" style="3135" customWidth="1"/>
    <col min="5390" max="5390" width="10" style="3135" customWidth="1"/>
    <col min="5391" max="5392" width="10.44140625" style="3135" bestFit="1" customWidth="1"/>
    <col min="5393" max="5393" width="10" style="3135" customWidth="1"/>
    <col min="5394" max="5394" width="10.109375" style="3135" customWidth="1"/>
    <col min="5395" max="5395" width="10" style="3135" customWidth="1"/>
    <col min="5396" max="5396" width="26.109375" style="3135" customWidth="1"/>
    <col min="5397" max="5632" width="8.88671875" style="3135"/>
    <col min="5633" max="5633" width="9.44140625" style="3135" customWidth="1"/>
    <col min="5634" max="5634" width="8.88671875" style="3135"/>
    <col min="5635" max="5637" width="12.88671875" style="3135" customWidth="1"/>
    <col min="5638" max="5638" width="47.44140625" style="3135" customWidth="1"/>
    <col min="5639" max="5639" width="13" style="3135" customWidth="1"/>
    <col min="5640" max="5641" width="8.88671875" style="3135"/>
    <col min="5642" max="5642" width="5.77734375" style="3135" customWidth="1"/>
    <col min="5643" max="5643" width="11.77734375" style="3135" customWidth="1"/>
    <col min="5644" max="5645" width="10.77734375" style="3135" customWidth="1"/>
    <col min="5646" max="5646" width="10" style="3135" customWidth="1"/>
    <col min="5647" max="5648" width="10.44140625" style="3135" bestFit="1" customWidth="1"/>
    <col min="5649" max="5649" width="10" style="3135" customWidth="1"/>
    <col min="5650" max="5650" width="10.109375" style="3135" customWidth="1"/>
    <col min="5651" max="5651" width="10" style="3135" customWidth="1"/>
    <col min="5652" max="5652" width="26.109375" style="3135" customWidth="1"/>
    <col min="5653" max="5888" width="8.88671875" style="3135"/>
    <col min="5889" max="5889" width="9.44140625" style="3135" customWidth="1"/>
    <col min="5890" max="5890" width="8.88671875" style="3135"/>
    <col min="5891" max="5893" width="12.88671875" style="3135" customWidth="1"/>
    <col min="5894" max="5894" width="47.44140625" style="3135" customWidth="1"/>
    <col min="5895" max="5895" width="13" style="3135" customWidth="1"/>
    <col min="5896" max="5897" width="8.88671875" style="3135"/>
    <col min="5898" max="5898" width="5.77734375" style="3135" customWidth="1"/>
    <col min="5899" max="5899" width="11.77734375" style="3135" customWidth="1"/>
    <col min="5900" max="5901" width="10.77734375" style="3135" customWidth="1"/>
    <col min="5902" max="5902" width="10" style="3135" customWidth="1"/>
    <col min="5903" max="5904" width="10.44140625" style="3135" bestFit="1" customWidth="1"/>
    <col min="5905" max="5905" width="10" style="3135" customWidth="1"/>
    <col min="5906" max="5906" width="10.109375" style="3135" customWidth="1"/>
    <col min="5907" max="5907" width="10" style="3135" customWidth="1"/>
    <col min="5908" max="5908" width="26.109375" style="3135" customWidth="1"/>
    <col min="5909" max="6144" width="8.88671875" style="3135"/>
    <col min="6145" max="6145" width="9.44140625" style="3135" customWidth="1"/>
    <col min="6146" max="6146" width="8.88671875" style="3135"/>
    <col min="6147" max="6149" width="12.88671875" style="3135" customWidth="1"/>
    <col min="6150" max="6150" width="47.44140625" style="3135" customWidth="1"/>
    <col min="6151" max="6151" width="13" style="3135" customWidth="1"/>
    <col min="6152" max="6153" width="8.88671875" style="3135"/>
    <col min="6154" max="6154" width="5.77734375" style="3135" customWidth="1"/>
    <col min="6155" max="6155" width="11.77734375" style="3135" customWidth="1"/>
    <col min="6156" max="6157" width="10.77734375" style="3135" customWidth="1"/>
    <col min="6158" max="6158" width="10" style="3135" customWidth="1"/>
    <col min="6159" max="6160" width="10.44140625" style="3135" bestFit="1" customWidth="1"/>
    <col min="6161" max="6161" width="10" style="3135" customWidth="1"/>
    <col min="6162" max="6162" width="10.109375" style="3135" customWidth="1"/>
    <col min="6163" max="6163" width="10" style="3135" customWidth="1"/>
    <col min="6164" max="6164" width="26.109375" style="3135" customWidth="1"/>
    <col min="6165" max="6400" width="8.88671875" style="3135"/>
    <col min="6401" max="6401" width="9.44140625" style="3135" customWidth="1"/>
    <col min="6402" max="6402" width="8.88671875" style="3135"/>
    <col min="6403" max="6405" width="12.88671875" style="3135" customWidth="1"/>
    <col min="6406" max="6406" width="47.44140625" style="3135" customWidth="1"/>
    <col min="6407" max="6407" width="13" style="3135" customWidth="1"/>
    <col min="6408" max="6409" width="8.88671875" style="3135"/>
    <col min="6410" max="6410" width="5.77734375" style="3135" customWidth="1"/>
    <col min="6411" max="6411" width="11.77734375" style="3135" customWidth="1"/>
    <col min="6412" max="6413" width="10.77734375" style="3135" customWidth="1"/>
    <col min="6414" max="6414" width="10" style="3135" customWidth="1"/>
    <col min="6415" max="6416" width="10.44140625" style="3135" bestFit="1" customWidth="1"/>
    <col min="6417" max="6417" width="10" style="3135" customWidth="1"/>
    <col min="6418" max="6418" width="10.109375" style="3135" customWidth="1"/>
    <col min="6419" max="6419" width="10" style="3135" customWidth="1"/>
    <col min="6420" max="6420" width="26.109375" style="3135" customWidth="1"/>
    <col min="6421" max="6656" width="8.88671875" style="3135"/>
    <col min="6657" max="6657" width="9.44140625" style="3135" customWidth="1"/>
    <col min="6658" max="6658" width="8.88671875" style="3135"/>
    <col min="6659" max="6661" width="12.88671875" style="3135" customWidth="1"/>
    <col min="6662" max="6662" width="47.44140625" style="3135" customWidth="1"/>
    <col min="6663" max="6663" width="13" style="3135" customWidth="1"/>
    <col min="6664" max="6665" width="8.88671875" style="3135"/>
    <col min="6666" max="6666" width="5.77734375" style="3135" customWidth="1"/>
    <col min="6667" max="6667" width="11.77734375" style="3135" customWidth="1"/>
    <col min="6668" max="6669" width="10.77734375" style="3135" customWidth="1"/>
    <col min="6670" max="6670" width="10" style="3135" customWidth="1"/>
    <col min="6671" max="6672" width="10.44140625" style="3135" bestFit="1" customWidth="1"/>
    <col min="6673" max="6673" width="10" style="3135" customWidth="1"/>
    <col min="6674" max="6674" width="10.109375" style="3135" customWidth="1"/>
    <col min="6675" max="6675" width="10" style="3135" customWidth="1"/>
    <col min="6676" max="6676" width="26.109375" style="3135" customWidth="1"/>
    <col min="6677" max="6912" width="8.88671875" style="3135"/>
    <col min="6913" max="6913" width="9.44140625" style="3135" customWidth="1"/>
    <col min="6914" max="6914" width="8.88671875" style="3135"/>
    <col min="6915" max="6917" width="12.88671875" style="3135" customWidth="1"/>
    <col min="6918" max="6918" width="47.44140625" style="3135" customWidth="1"/>
    <col min="6919" max="6919" width="13" style="3135" customWidth="1"/>
    <col min="6920" max="6921" width="8.88671875" style="3135"/>
    <col min="6922" max="6922" width="5.77734375" style="3135" customWidth="1"/>
    <col min="6923" max="6923" width="11.77734375" style="3135" customWidth="1"/>
    <col min="6924" max="6925" width="10.77734375" style="3135" customWidth="1"/>
    <col min="6926" max="6926" width="10" style="3135" customWidth="1"/>
    <col min="6927" max="6928" width="10.44140625" style="3135" bestFit="1" customWidth="1"/>
    <col min="6929" max="6929" width="10" style="3135" customWidth="1"/>
    <col min="6930" max="6930" width="10.109375" style="3135" customWidth="1"/>
    <col min="6931" max="6931" width="10" style="3135" customWidth="1"/>
    <col min="6932" max="6932" width="26.109375" style="3135" customWidth="1"/>
    <col min="6933" max="7168" width="8.88671875" style="3135"/>
    <col min="7169" max="7169" width="9.44140625" style="3135" customWidth="1"/>
    <col min="7170" max="7170" width="8.88671875" style="3135"/>
    <col min="7171" max="7173" width="12.88671875" style="3135" customWidth="1"/>
    <col min="7174" max="7174" width="47.44140625" style="3135" customWidth="1"/>
    <col min="7175" max="7175" width="13" style="3135" customWidth="1"/>
    <col min="7176" max="7177" width="8.88671875" style="3135"/>
    <col min="7178" max="7178" width="5.77734375" style="3135" customWidth="1"/>
    <col min="7179" max="7179" width="11.77734375" style="3135" customWidth="1"/>
    <col min="7180" max="7181" width="10.77734375" style="3135" customWidth="1"/>
    <col min="7182" max="7182" width="10" style="3135" customWidth="1"/>
    <col min="7183" max="7184" width="10.44140625" style="3135" bestFit="1" customWidth="1"/>
    <col min="7185" max="7185" width="10" style="3135" customWidth="1"/>
    <col min="7186" max="7186" width="10.109375" style="3135" customWidth="1"/>
    <col min="7187" max="7187" width="10" style="3135" customWidth="1"/>
    <col min="7188" max="7188" width="26.109375" style="3135" customWidth="1"/>
    <col min="7189" max="7424" width="8.88671875" style="3135"/>
    <col min="7425" max="7425" width="9.44140625" style="3135" customWidth="1"/>
    <col min="7426" max="7426" width="8.88671875" style="3135"/>
    <col min="7427" max="7429" width="12.88671875" style="3135" customWidth="1"/>
    <col min="7430" max="7430" width="47.44140625" style="3135" customWidth="1"/>
    <col min="7431" max="7431" width="13" style="3135" customWidth="1"/>
    <col min="7432" max="7433" width="8.88671875" style="3135"/>
    <col min="7434" max="7434" width="5.77734375" style="3135" customWidth="1"/>
    <col min="7435" max="7435" width="11.77734375" style="3135" customWidth="1"/>
    <col min="7436" max="7437" width="10.77734375" style="3135" customWidth="1"/>
    <col min="7438" max="7438" width="10" style="3135" customWidth="1"/>
    <col min="7439" max="7440" width="10.44140625" style="3135" bestFit="1" customWidth="1"/>
    <col min="7441" max="7441" width="10" style="3135" customWidth="1"/>
    <col min="7442" max="7442" width="10.109375" style="3135" customWidth="1"/>
    <col min="7443" max="7443" width="10" style="3135" customWidth="1"/>
    <col min="7444" max="7444" width="26.109375" style="3135" customWidth="1"/>
    <col min="7445" max="7680" width="8.88671875" style="3135"/>
    <col min="7681" max="7681" width="9.44140625" style="3135" customWidth="1"/>
    <col min="7682" max="7682" width="8.88671875" style="3135"/>
    <col min="7683" max="7685" width="12.88671875" style="3135" customWidth="1"/>
    <col min="7686" max="7686" width="47.44140625" style="3135" customWidth="1"/>
    <col min="7687" max="7687" width="13" style="3135" customWidth="1"/>
    <col min="7688" max="7689" width="8.88671875" style="3135"/>
    <col min="7690" max="7690" width="5.77734375" style="3135" customWidth="1"/>
    <col min="7691" max="7691" width="11.77734375" style="3135" customWidth="1"/>
    <col min="7692" max="7693" width="10.77734375" style="3135" customWidth="1"/>
    <col min="7694" max="7694" width="10" style="3135" customWidth="1"/>
    <col min="7695" max="7696" width="10.44140625" style="3135" bestFit="1" customWidth="1"/>
    <col min="7697" max="7697" width="10" style="3135" customWidth="1"/>
    <col min="7698" max="7698" width="10.109375" style="3135" customWidth="1"/>
    <col min="7699" max="7699" width="10" style="3135" customWidth="1"/>
    <col min="7700" max="7700" width="26.109375" style="3135" customWidth="1"/>
    <col min="7701" max="7936" width="8.88671875" style="3135"/>
    <col min="7937" max="7937" width="9.44140625" style="3135" customWidth="1"/>
    <col min="7938" max="7938" width="8.88671875" style="3135"/>
    <col min="7939" max="7941" width="12.88671875" style="3135" customWidth="1"/>
    <col min="7942" max="7942" width="47.44140625" style="3135" customWidth="1"/>
    <col min="7943" max="7943" width="13" style="3135" customWidth="1"/>
    <col min="7944" max="7945" width="8.88671875" style="3135"/>
    <col min="7946" max="7946" width="5.77734375" style="3135" customWidth="1"/>
    <col min="7947" max="7947" width="11.77734375" style="3135" customWidth="1"/>
    <col min="7948" max="7949" width="10.77734375" style="3135" customWidth="1"/>
    <col min="7950" max="7950" width="10" style="3135" customWidth="1"/>
    <col min="7951" max="7952" width="10.44140625" style="3135" bestFit="1" customWidth="1"/>
    <col min="7953" max="7953" width="10" style="3135" customWidth="1"/>
    <col min="7954" max="7954" width="10.109375" style="3135" customWidth="1"/>
    <col min="7955" max="7955" width="10" style="3135" customWidth="1"/>
    <col min="7956" max="7956" width="26.109375" style="3135" customWidth="1"/>
    <col min="7957" max="8192" width="8.88671875" style="3135"/>
    <col min="8193" max="8193" width="9.44140625" style="3135" customWidth="1"/>
    <col min="8194" max="8194" width="8.88671875" style="3135"/>
    <col min="8195" max="8197" width="12.88671875" style="3135" customWidth="1"/>
    <col min="8198" max="8198" width="47.44140625" style="3135" customWidth="1"/>
    <col min="8199" max="8199" width="13" style="3135" customWidth="1"/>
    <col min="8200" max="8201" width="8.88671875" style="3135"/>
    <col min="8202" max="8202" width="5.77734375" style="3135" customWidth="1"/>
    <col min="8203" max="8203" width="11.77734375" style="3135" customWidth="1"/>
    <col min="8204" max="8205" width="10.77734375" style="3135" customWidth="1"/>
    <col min="8206" max="8206" width="10" style="3135" customWidth="1"/>
    <col min="8207" max="8208" width="10.44140625" style="3135" bestFit="1" customWidth="1"/>
    <col min="8209" max="8209" width="10" style="3135" customWidth="1"/>
    <col min="8210" max="8210" width="10.109375" style="3135" customWidth="1"/>
    <col min="8211" max="8211" width="10" style="3135" customWidth="1"/>
    <col min="8212" max="8212" width="26.109375" style="3135" customWidth="1"/>
    <col min="8213" max="8448" width="8.88671875" style="3135"/>
    <col min="8449" max="8449" width="9.44140625" style="3135" customWidth="1"/>
    <col min="8450" max="8450" width="8.88671875" style="3135"/>
    <col min="8451" max="8453" width="12.88671875" style="3135" customWidth="1"/>
    <col min="8454" max="8454" width="47.44140625" style="3135" customWidth="1"/>
    <col min="8455" max="8455" width="13" style="3135" customWidth="1"/>
    <col min="8456" max="8457" width="8.88671875" style="3135"/>
    <col min="8458" max="8458" width="5.77734375" style="3135" customWidth="1"/>
    <col min="8459" max="8459" width="11.77734375" style="3135" customWidth="1"/>
    <col min="8460" max="8461" width="10.77734375" style="3135" customWidth="1"/>
    <col min="8462" max="8462" width="10" style="3135" customWidth="1"/>
    <col min="8463" max="8464" width="10.44140625" style="3135" bestFit="1" customWidth="1"/>
    <col min="8465" max="8465" width="10" style="3135" customWidth="1"/>
    <col min="8466" max="8466" width="10.109375" style="3135" customWidth="1"/>
    <col min="8467" max="8467" width="10" style="3135" customWidth="1"/>
    <col min="8468" max="8468" width="26.109375" style="3135" customWidth="1"/>
    <col min="8469" max="8704" width="8.88671875" style="3135"/>
    <col min="8705" max="8705" width="9.44140625" style="3135" customWidth="1"/>
    <col min="8706" max="8706" width="8.88671875" style="3135"/>
    <col min="8707" max="8709" width="12.88671875" style="3135" customWidth="1"/>
    <col min="8710" max="8710" width="47.44140625" style="3135" customWidth="1"/>
    <col min="8711" max="8711" width="13" style="3135" customWidth="1"/>
    <col min="8712" max="8713" width="8.88671875" style="3135"/>
    <col min="8714" max="8714" width="5.77734375" style="3135" customWidth="1"/>
    <col min="8715" max="8715" width="11.77734375" style="3135" customWidth="1"/>
    <col min="8716" max="8717" width="10.77734375" style="3135" customWidth="1"/>
    <col min="8718" max="8718" width="10" style="3135" customWidth="1"/>
    <col min="8719" max="8720" width="10.44140625" style="3135" bestFit="1" customWidth="1"/>
    <col min="8721" max="8721" width="10" style="3135" customWidth="1"/>
    <col min="8722" max="8722" width="10.109375" style="3135" customWidth="1"/>
    <col min="8723" max="8723" width="10" style="3135" customWidth="1"/>
    <col min="8724" max="8724" width="26.109375" style="3135" customWidth="1"/>
    <col min="8725" max="8960" width="8.88671875" style="3135"/>
    <col min="8961" max="8961" width="9.44140625" style="3135" customWidth="1"/>
    <col min="8962" max="8962" width="8.88671875" style="3135"/>
    <col min="8963" max="8965" width="12.88671875" style="3135" customWidth="1"/>
    <col min="8966" max="8966" width="47.44140625" style="3135" customWidth="1"/>
    <col min="8967" max="8967" width="13" style="3135" customWidth="1"/>
    <col min="8968" max="8969" width="8.88671875" style="3135"/>
    <col min="8970" max="8970" width="5.77734375" style="3135" customWidth="1"/>
    <col min="8971" max="8971" width="11.77734375" style="3135" customWidth="1"/>
    <col min="8972" max="8973" width="10.77734375" style="3135" customWidth="1"/>
    <col min="8974" max="8974" width="10" style="3135" customWidth="1"/>
    <col min="8975" max="8976" width="10.44140625" style="3135" bestFit="1" customWidth="1"/>
    <col min="8977" max="8977" width="10" style="3135" customWidth="1"/>
    <col min="8978" max="8978" width="10.109375" style="3135" customWidth="1"/>
    <col min="8979" max="8979" width="10" style="3135" customWidth="1"/>
    <col min="8980" max="8980" width="26.109375" style="3135" customWidth="1"/>
    <col min="8981" max="9216" width="8.88671875" style="3135"/>
    <col min="9217" max="9217" width="9.44140625" style="3135" customWidth="1"/>
    <col min="9218" max="9218" width="8.88671875" style="3135"/>
    <col min="9219" max="9221" width="12.88671875" style="3135" customWidth="1"/>
    <col min="9222" max="9222" width="47.44140625" style="3135" customWidth="1"/>
    <col min="9223" max="9223" width="13" style="3135" customWidth="1"/>
    <col min="9224" max="9225" width="8.88671875" style="3135"/>
    <col min="9226" max="9226" width="5.77734375" style="3135" customWidth="1"/>
    <col min="9227" max="9227" width="11.77734375" style="3135" customWidth="1"/>
    <col min="9228" max="9229" width="10.77734375" style="3135" customWidth="1"/>
    <col min="9230" max="9230" width="10" style="3135" customWidth="1"/>
    <col min="9231" max="9232" width="10.44140625" style="3135" bestFit="1" customWidth="1"/>
    <col min="9233" max="9233" width="10" style="3135" customWidth="1"/>
    <col min="9234" max="9234" width="10.109375" style="3135" customWidth="1"/>
    <col min="9235" max="9235" width="10" style="3135" customWidth="1"/>
    <col min="9236" max="9236" width="26.109375" style="3135" customWidth="1"/>
    <col min="9237" max="9472" width="8.88671875" style="3135"/>
    <col min="9473" max="9473" width="9.44140625" style="3135" customWidth="1"/>
    <col min="9474" max="9474" width="8.88671875" style="3135"/>
    <col min="9475" max="9477" width="12.88671875" style="3135" customWidth="1"/>
    <col min="9478" max="9478" width="47.44140625" style="3135" customWidth="1"/>
    <col min="9479" max="9479" width="13" style="3135" customWidth="1"/>
    <col min="9480" max="9481" width="8.88671875" style="3135"/>
    <col min="9482" max="9482" width="5.77734375" style="3135" customWidth="1"/>
    <col min="9483" max="9483" width="11.77734375" style="3135" customWidth="1"/>
    <col min="9484" max="9485" width="10.77734375" style="3135" customWidth="1"/>
    <col min="9486" max="9486" width="10" style="3135" customWidth="1"/>
    <col min="9487" max="9488" width="10.44140625" style="3135" bestFit="1" customWidth="1"/>
    <col min="9489" max="9489" width="10" style="3135" customWidth="1"/>
    <col min="9490" max="9490" width="10.109375" style="3135" customWidth="1"/>
    <col min="9491" max="9491" width="10" style="3135" customWidth="1"/>
    <col min="9492" max="9492" width="26.109375" style="3135" customWidth="1"/>
    <col min="9493" max="9728" width="8.88671875" style="3135"/>
    <col min="9729" max="9729" width="9.44140625" style="3135" customWidth="1"/>
    <col min="9730" max="9730" width="8.88671875" style="3135"/>
    <col min="9731" max="9733" width="12.88671875" style="3135" customWidth="1"/>
    <col min="9734" max="9734" width="47.44140625" style="3135" customWidth="1"/>
    <col min="9735" max="9735" width="13" style="3135" customWidth="1"/>
    <col min="9736" max="9737" width="8.88671875" style="3135"/>
    <col min="9738" max="9738" width="5.77734375" style="3135" customWidth="1"/>
    <col min="9739" max="9739" width="11.77734375" style="3135" customWidth="1"/>
    <col min="9740" max="9741" width="10.77734375" style="3135" customWidth="1"/>
    <col min="9742" max="9742" width="10" style="3135" customWidth="1"/>
    <col min="9743" max="9744" width="10.44140625" style="3135" bestFit="1" customWidth="1"/>
    <col min="9745" max="9745" width="10" style="3135" customWidth="1"/>
    <col min="9746" max="9746" width="10.109375" style="3135" customWidth="1"/>
    <col min="9747" max="9747" width="10" style="3135" customWidth="1"/>
    <col min="9748" max="9748" width="26.109375" style="3135" customWidth="1"/>
    <col min="9749" max="9984" width="8.88671875" style="3135"/>
    <col min="9985" max="9985" width="9.44140625" style="3135" customWidth="1"/>
    <col min="9986" max="9986" width="8.88671875" style="3135"/>
    <col min="9987" max="9989" width="12.88671875" style="3135" customWidth="1"/>
    <col min="9990" max="9990" width="47.44140625" style="3135" customWidth="1"/>
    <col min="9991" max="9991" width="13" style="3135" customWidth="1"/>
    <col min="9992" max="9993" width="8.88671875" style="3135"/>
    <col min="9994" max="9994" width="5.77734375" style="3135" customWidth="1"/>
    <col min="9995" max="9995" width="11.77734375" style="3135" customWidth="1"/>
    <col min="9996" max="9997" width="10.77734375" style="3135" customWidth="1"/>
    <col min="9998" max="9998" width="10" style="3135" customWidth="1"/>
    <col min="9999" max="10000" width="10.44140625" style="3135" bestFit="1" customWidth="1"/>
    <col min="10001" max="10001" width="10" style="3135" customWidth="1"/>
    <col min="10002" max="10002" width="10.109375" style="3135" customWidth="1"/>
    <col min="10003" max="10003" width="10" style="3135" customWidth="1"/>
    <col min="10004" max="10004" width="26.109375" style="3135" customWidth="1"/>
    <col min="10005" max="10240" width="8.88671875" style="3135"/>
    <col min="10241" max="10241" width="9.44140625" style="3135" customWidth="1"/>
    <col min="10242" max="10242" width="8.88671875" style="3135"/>
    <col min="10243" max="10245" width="12.88671875" style="3135" customWidth="1"/>
    <col min="10246" max="10246" width="47.44140625" style="3135" customWidth="1"/>
    <col min="10247" max="10247" width="13" style="3135" customWidth="1"/>
    <col min="10248" max="10249" width="8.88671875" style="3135"/>
    <col min="10250" max="10250" width="5.77734375" style="3135" customWidth="1"/>
    <col min="10251" max="10251" width="11.77734375" style="3135" customWidth="1"/>
    <col min="10252" max="10253" width="10.77734375" style="3135" customWidth="1"/>
    <col min="10254" max="10254" width="10" style="3135" customWidth="1"/>
    <col min="10255" max="10256" width="10.44140625" style="3135" bestFit="1" customWidth="1"/>
    <col min="10257" max="10257" width="10" style="3135" customWidth="1"/>
    <col min="10258" max="10258" width="10.109375" style="3135" customWidth="1"/>
    <col min="10259" max="10259" width="10" style="3135" customWidth="1"/>
    <col min="10260" max="10260" width="26.109375" style="3135" customWidth="1"/>
    <col min="10261" max="10496" width="8.88671875" style="3135"/>
    <col min="10497" max="10497" width="9.44140625" style="3135" customWidth="1"/>
    <col min="10498" max="10498" width="8.88671875" style="3135"/>
    <col min="10499" max="10501" width="12.88671875" style="3135" customWidth="1"/>
    <col min="10502" max="10502" width="47.44140625" style="3135" customWidth="1"/>
    <col min="10503" max="10503" width="13" style="3135" customWidth="1"/>
    <col min="10504" max="10505" width="8.88671875" style="3135"/>
    <col min="10506" max="10506" width="5.77734375" style="3135" customWidth="1"/>
    <col min="10507" max="10507" width="11.77734375" style="3135" customWidth="1"/>
    <col min="10508" max="10509" width="10.77734375" style="3135" customWidth="1"/>
    <col min="10510" max="10510" width="10" style="3135" customWidth="1"/>
    <col min="10511" max="10512" width="10.44140625" style="3135" bestFit="1" customWidth="1"/>
    <col min="10513" max="10513" width="10" style="3135" customWidth="1"/>
    <col min="10514" max="10514" width="10.109375" style="3135" customWidth="1"/>
    <col min="10515" max="10515" width="10" style="3135" customWidth="1"/>
    <col min="10516" max="10516" width="26.109375" style="3135" customWidth="1"/>
    <col min="10517" max="10752" width="8.88671875" style="3135"/>
    <col min="10753" max="10753" width="9.44140625" style="3135" customWidth="1"/>
    <col min="10754" max="10754" width="8.88671875" style="3135"/>
    <col min="10755" max="10757" width="12.88671875" style="3135" customWidth="1"/>
    <col min="10758" max="10758" width="47.44140625" style="3135" customWidth="1"/>
    <col min="10759" max="10759" width="13" style="3135" customWidth="1"/>
    <col min="10760" max="10761" width="8.88671875" style="3135"/>
    <col min="10762" max="10762" width="5.77734375" style="3135" customWidth="1"/>
    <col min="10763" max="10763" width="11.77734375" style="3135" customWidth="1"/>
    <col min="10764" max="10765" width="10.77734375" style="3135" customWidth="1"/>
    <col min="10766" max="10766" width="10" style="3135" customWidth="1"/>
    <col min="10767" max="10768" width="10.44140625" style="3135" bestFit="1" customWidth="1"/>
    <col min="10769" max="10769" width="10" style="3135" customWidth="1"/>
    <col min="10770" max="10770" width="10.109375" style="3135" customWidth="1"/>
    <col min="10771" max="10771" width="10" style="3135" customWidth="1"/>
    <col min="10772" max="10772" width="26.109375" style="3135" customWidth="1"/>
    <col min="10773" max="11008" width="8.88671875" style="3135"/>
    <col min="11009" max="11009" width="9.44140625" style="3135" customWidth="1"/>
    <col min="11010" max="11010" width="8.88671875" style="3135"/>
    <col min="11011" max="11013" width="12.88671875" style="3135" customWidth="1"/>
    <col min="11014" max="11014" width="47.44140625" style="3135" customWidth="1"/>
    <col min="11015" max="11015" width="13" style="3135" customWidth="1"/>
    <col min="11016" max="11017" width="8.88671875" style="3135"/>
    <col min="11018" max="11018" width="5.77734375" style="3135" customWidth="1"/>
    <col min="11019" max="11019" width="11.77734375" style="3135" customWidth="1"/>
    <col min="11020" max="11021" width="10.77734375" style="3135" customWidth="1"/>
    <col min="11022" max="11022" width="10" style="3135" customWidth="1"/>
    <col min="11023" max="11024" width="10.44140625" style="3135" bestFit="1" customWidth="1"/>
    <col min="11025" max="11025" width="10" style="3135" customWidth="1"/>
    <col min="11026" max="11026" width="10.109375" style="3135" customWidth="1"/>
    <col min="11027" max="11027" width="10" style="3135" customWidth="1"/>
    <col min="11028" max="11028" width="26.109375" style="3135" customWidth="1"/>
    <col min="11029" max="11264" width="8.88671875" style="3135"/>
    <col min="11265" max="11265" width="9.44140625" style="3135" customWidth="1"/>
    <col min="11266" max="11266" width="8.88671875" style="3135"/>
    <col min="11267" max="11269" width="12.88671875" style="3135" customWidth="1"/>
    <col min="11270" max="11270" width="47.44140625" style="3135" customWidth="1"/>
    <col min="11271" max="11271" width="13" style="3135" customWidth="1"/>
    <col min="11272" max="11273" width="8.88671875" style="3135"/>
    <col min="11274" max="11274" width="5.77734375" style="3135" customWidth="1"/>
    <col min="11275" max="11275" width="11.77734375" style="3135" customWidth="1"/>
    <col min="11276" max="11277" width="10.77734375" style="3135" customWidth="1"/>
    <col min="11278" max="11278" width="10" style="3135" customWidth="1"/>
    <col min="11279" max="11280" width="10.44140625" style="3135" bestFit="1" customWidth="1"/>
    <col min="11281" max="11281" width="10" style="3135" customWidth="1"/>
    <col min="11282" max="11282" width="10.109375" style="3135" customWidth="1"/>
    <col min="11283" max="11283" width="10" style="3135" customWidth="1"/>
    <col min="11284" max="11284" width="26.109375" style="3135" customWidth="1"/>
    <col min="11285" max="11520" width="8.88671875" style="3135"/>
    <col min="11521" max="11521" width="9.44140625" style="3135" customWidth="1"/>
    <col min="11522" max="11522" width="8.88671875" style="3135"/>
    <col min="11523" max="11525" width="12.88671875" style="3135" customWidth="1"/>
    <col min="11526" max="11526" width="47.44140625" style="3135" customWidth="1"/>
    <col min="11527" max="11527" width="13" style="3135" customWidth="1"/>
    <col min="11528" max="11529" width="8.88671875" style="3135"/>
    <col min="11530" max="11530" width="5.77734375" style="3135" customWidth="1"/>
    <col min="11531" max="11531" width="11.77734375" style="3135" customWidth="1"/>
    <col min="11532" max="11533" width="10.77734375" style="3135" customWidth="1"/>
    <col min="11534" max="11534" width="10" style="3135" customWidth="1"/>
    <col min="11535" max="11536" width="10.44140625" style="3135" bestFit="1" customWidth="1"/>
    <col min="11537" max="11537" width="10" style="3135" customWidth="1"/>
    <col min="11538" max="11538" width="10.109375" style="3135" customWidth="1"/>
    <col min="11539" max="11539" width="10" style="3135" customWidth="1"/>
    <col min="11540" max="11540" width="26.109375" style="3135" customWidth="1"/>
    <col min="11541" max="11776" width="8.88671875" style="3135"/>
    <col min="11777" max="11777" width="9.44140625" style="3135" customWidth="1"/>
    <col min="11778" max="11778" width="8.88671875" style="3135"/>
    <col min="11779" max="11781" width="12.88671875" style="3135" customWidth="1"/>
    <col min="11782" max="11782" width="47.44140625" style="3135" customWidth="1"/>
    <col min="11783" max="11783" width="13" style="3135" customWidth="1"/>
    <col min="11784" max="11785" width="8.88671875" style="3135"/>
    <col min="11786" max="11786" width="5.77734375" style="3135" customWidth="1"/>
    <col min="11787" max="11787" width="11.77734375" style="3135" customWidth="1"/>
    <col min="11788" max="11789" width="10.77734375" style="3135" customWidth="1"/>
    <col min="11790" max="11790" width="10" style="3135" customWidth="1"/>
    <col min="11791" max="11792" width="10.44140625" style="3135" bestFit="1" customWidth="1"/>
    <col min="11793" max="11793" width="10" style="3135" customWidth="1"/>
    <col min="11794" max="11794" width="10.109375" style="3135" customWidth="1"/>
    <col min="11795" max="11795" width="10" style="3135" customWidth="1"/>
    <col min="11796" max="11796" width="26.109375" style="3135" customWidth="1"/>
    <col min="11797" max="12032" width="8.88671875" style="3135"/>
    <col min="12033" max="12033" width="9.44140625" style="3135" customWidth="1"/>
    <col min="12034" max="12034" width="8.88671875" style="3135"/>
    <col min="12035" max="12037" width="12.88671875" style="3135" customWidth="1"/>
    <col min="12038" max="12038" width="47.44140625" style="3135" customWidth="1"/>
    <col min="12039" max="12039" width="13" style="3135" customWidth="1"/>
    <col min="12040" max="12041" width="8.88671875" style="3135"/>
    <col min="12042" max="12042" width="5.77734375" style="3135" customWidth="1"/>
    <col min="12043" max="12043" width="11.77734375" style="3135" customWidth="1"/>
    <col min="12044" max="12045" width="10.77734375" style="3135" customWidth="1"/>
    <col min="12046" max="12046" width="10" style="3135" customWidth="1"/>
    <col min="12047" max="12048" width="10.44140625" style="3135" bestFit="1" customWidth="1"/>
    <col min="12049" max="12049" width="10" style="3135" customWidth="1"/>
    <col min="12050" max="12050" width="10.109375" style="3135" customWidth="1"/>
    <col min="12051" max="12051" width="10" style="3135" customWidth="1"/>
    <col min="12052" max="12052" width="26.109375" style="3135" customWidth="1"/>
    <col min="12053" max="12288" width="8.88671875" style="3135"/>
    <col min="12289" max="12289" width="9.44140625" style="3135" customWidth="1"/>
    <col min="12290" max="12290" width="8.88671875" style="3135"/>
    <col min="12291" max="12293" width="12.88671875" style="3135" customWidth="1"/>
    <col min="12294" max="12294" width="47.44140625" style="3135" customWidth="1"/>
    <col min="12295" max="12295" width="13" style="3135" customWidth="1"/>
    <col min="12296" max="12297" width="8.88671875" style="3135"/>
    <col min="12298" max="12298" width="5.77734375" style="3135" customWidth="1"/>
    <col min="12299" max="12299" width="11.77734375" style="3135" customWidth="1"/>
    <col min="12300" max="12301" width="10.77734375" style="3135" customWidth="1"/>
    <col min="12302" max="12302" width="10" style="3135" customWidth="1"/>
    <col min="12303" max="12304" width="10.44140625" style="3135" bestFit="1" customWidth="1"/>
    <col min="12305" max="12305" width="10" style="3135" customWidth="1"/>
    <col min="12306" max="12306" width="10.109375" style="3135" customWidth="1"/>
    <col min="12307" max="12307" width="10" style="3135" customWidth="1"/>
    <col min="12308" max="12308" width="26.109375" style="3135" customWidth="1"/>
    <col min="12309" max="12544" width="8.88671875" style="3135"/>
    <col min="12545" max="12545" width="9.44140625" style="3135" customWidth="1"/>
    <col min="12546" max="12546" width="8.88671875" style="3135"/>
    <col min="12547" max="12549" width="12.88671875" style="3135" customWidth="1"/>
    <col min="12550" max="12550" width="47.44140625" style="3135" customWidth="1"/>
    <col min="12551" max="12551" width="13" style="3135" customWidth="1"/>
    <col min="12552" max="12553" width="8.88671875" style="3135"/>
    <col min="12554" max="12554" width="5.77734375" style="3135" customWidth="1"/>
    <col min="12555" max="12555" width="11.77734375" style="3135" customWidth="1"/>
    <col min="12556" max="12557" width="10.77734375" style="3135" customWidth="1"/>
    <col min="12558" max="12558" width="10" style="3135" customWidth="1"/>
    <col min="12559" max="12560" width="10.44140625" style="3135" bestFit="1" customWidth="1"/>
    <col min="12561" max="12561" width="10" style="3135" customWidth="1"/>
    <col min="12562" max="12562" width="10.109375" style="3135" customWidth="1"/>
    <col min="12563" max="12563" width="10" style="3135" customWidth="1"/>
    <col min="12564" max="12564" width="26.109375" style="3135" customWidth="1"/>
    <col min="12565" max="12800" width="8.88671875" style="3135"/>
    <col min="12801" max="12801" width="9.44140625" style="3135" customWidth="1"/>
    <col min="12802" max="12802" width="8.88671875" style="3135"/>
    <col min="12803" max="12805" width="12.88671875" style="3135" customWidth="1"/>
    <col min="12806" max="12806" width="47.44140625" style="3135" customWidth="1"/>
    <col min="12807" max="12807" width="13" style="3135" customWidth="1"/>
    <col min="12808" max="12809" width="8.88671875" style="3135"/>
    <col min="12810" max="12810" width="5.77734375" style="3135" customWidth="1"/>
    <col min="12811" max="12811" width="11.77734375" style="3135" customWidth="1"/>
    <col min="12812" max="12813" width="10.77734375" style="3135" customWidth="1"/>
    <col min="12814" max="12814" width="10" style="3135" customWidth="1"/>
    <col min="12815" max="12816" width="10.44140625" style="3135" bestFit="1" customWidth="1"/>
    <col min="12817" max="12817" width="10" style="3135" customWidth="1"/>
    <col min="12818" max="12818" width="10.109375" style="3135" customWidth="1"/>
    <col min="12819" max="12819" width="10" style="3135" customWidth="1"/>
    <col min="12820" max="12820" width="26.109375" style="3135" customWidth="1"/>
    <col min="12821" max="13056" width="8.88671875" style="3135"/>
    <col min="13057" max="13057" width="9.44140625" style="3135" customWidth="1"/>
    <col min="13058" max="13058" width="8.88671875" style="3135"/>
    <col min="13059" max="13061" width="12.88671875" style="3135" customWidth="1"/>
    <col min="13062" max="13062" width="47.44140625" style="3135" customWidth="1"/>
    <col min="13063" max="13063" width="13" style="3135" customWidth="1"/>
    <col min="13064" max="13065" width="8.88671875" style="3135"/>
    <col min="13066" max="13066" width="5.77734375" style="3135" customWidth="1"/>
    <col min="13067" max="13067" width="11.77734375" style="3135" customWidth="1"/>
    <col min="13068" max="13069" width="10.77734375" style="3135" customWidth="1"/>
    <col min="13070" max="13070" width="10" style="3135" customWidth="1"/>
    <col min="13071" max="13072" width="10.44140625" style="3135" bestFit="1" customWidth="1"/>
    <col min="13073" max="13073" width="10" style="3135" customWidth="1"/>
    <col min="13074" max="13074" width="10.109375" style="3135" customWidth="1"/>
    <col min="13075" max="13075" width="10" style="3135" customWidth="1"/>
    <col min="13076" max="13076" width="26.109375" style="3135" customWidth="1"/>
    <col min="13077" max="13312" width="8.88671875" style="3135"/>
    <col min="13313" max="13313" width="9.44140625" style="3135" customWidth="1"/>
    <col min="13314" max="13314" width="8.88671875" style="3135"/>
    <col min="13315" max="13317" width="12.88671875" style="3135" customWidth="1"/>
    <col min="13318" max="13318" width="47.44140625" style="3135" customWidth="1"/>
    <col min="13319" max="13319" width="13" style="3135" customWidth="1"/>
    <col min="13320" max="13321" width="8.88671875" style="3135"/>
    <col min="13322" max="13322" width="5.77734375" style="3135" customWidth="1"/>
    <col min="13323" max="13323" width="11.77734375" style="3135" customWidth="1"/>
    <col min="13324" max="13325" width="10.77734375" style="3135" customWidth="1"/>
    <col min="13326" max="13326" width="10" style="3135" customWidth="1"/>
    <col min="13327" max="13328" width="10.44140625" style="3135" bestFit="1" customWidth="1"/>
    <col min="13329" max="13329" width="10" style="3135" customWidth="1"/>
    <col min="13330" max="13330" width="10.109375" style="3135" customWidth="1"/>
    <col min="13331" max="13331" width="10" style="3135" customWidth="1"/>
    <col min="13332" max="13332" width="26.109375" style="3135" customWidth="1"/>
    <col min="13333" max="13568" width="8.88671875" style="3135"/>
    <col min="13569" max="13569" width="9.44140625" style="3135" customWidth="1"/>
    <col min="13570" max="13570" width="8.88671875" style="3135"/>
    <col min="13571" max="13573" width="12.88671875" style="3135" customWidth="1"/>
    <col min="13574" max="13574" width="47.44140625" style="3135" customWidth="1"/>
    <col min="13575" max="13575" width="13" style="3135" customWidth="1"/>
    <col min="13576" max="13577" width="8.88671875" style="3135"/>
    <col min="13578" max="13578" width="5.77734375" style="3135" customWidth="1"/>
    <col min="13579" max="13579" width="11.77734375" style="3135" customWidth="1"/>
    <col min="13580" max="13581" width="10.77734375" style="3135" customWidth="1"/>
    <col min="13582" max="13582" width="10" style="3135" customWidth="1"/>
    <col min="13583" max="13584" width="10.44140625" style="3135" bestFit="1" customWidth="1"/>
    <col min="13585" max="13585" width="10" style="3135" customWidth="1"/>
    <col min="13586" max="13586" width="10.109375" style="3135" customWidth="1"/>
    <col min="13587" max="13587" width="10" style="3135" customWidth="1"/>
    <col min="13588" max="13588" width="26.109375" style="3135" customWidth="1"/>
    <col min="13589" max="13824" width="8.88671875" style="3135"/>
    <col min="13825" max="13825" width="9.44140625" style="3135" customWidth="1"/>
    <col min="13826" max="13826" width="8.88671875" style="3135"/>
    <col min="13827" max="13829" width="12.88671875" style="3135" customWidth="1"/>
    <col min="13830" max="13830" width="47.44140625" style="3135" customWidth="1"/>
    <col min="13831" max="13831" width="13" style="3135" customWidth="1"/>
    <col min="13832" max="13833" width="8.88671875" style="3135"/>
    <col min="13834" max="13834" width="5.77734375" style="3135" customWidth="1"/>
    <col min="13835" max="13835" width="11.77734375" style="3135" customWidth="1"/>
    <col min="13836" max="13837" width="10.77734375" style="3135" customWidth="1"/>
    <col min="13838" max="13838" width="10" style="3135" customWidth="1"/>
    <col min="13839" max="13840" width="10.44140625" style="3135" bestFit="1" customWidth="1"/>
    <col min="13841" max="13841" width="10" style="3135" customWidth="1"/>
    <col min="13842" max="13842" width="10.109375" style="3135" customWidth="1"/>
    <col min="13843" max="13843" width="10" style="3135" customWidth="1"/>
    <col min="13844" max="13844" width="26.109375" style="3135" customWidth="1"/>
    <col min="13845" max="14080" width="8.88671875" style="3135"/>
    <col min="14081" max="14081" width="9.44140625" style="3135" customWidth="1"/>
    <col min="14082" max="14082" width="8.88671875" style="3135"/>
    <col min="14083" max="14085" width="12.88671875" style="3135" customWidth="1"/>
    <col min="14086" max="14086" width="47.44140625" style="3135" customWidth="1"/>
    <col min="14087" max="14087" width="13" style="3135" customWidth="1"/>
    <col min="14088" max="14089" width="8.88671875" style="3135"/>
    <col min="14090" max="14090" width="5.77734375" style="3135" customWidth="1"/>
    <col min="14091" max="14091" width="11.77734375" style="3135" customWidth="1"/>
    <col min="14092" max="14093" width="10.77734375" style="3135" customWidth="1"/>
    <col min="14094" max="14094" width="10" style="3135" customWidth="1"/>
    <col min="14095" max="14096" width="10.44140625" style="3135" bestFit="1" customWidth="1"/>
    <col min="14097" max="14097" width="10" style="3135" customWidth="1"/>
    <col min="14098" max="14098" width="10.109375" style="3135" customWidth="1"/>
    <col min="14099" max="14099" width="10" style="3135" customWidth="1"/>
    <col min="14100" max="14100" width="26.109375" style="3135" customWidth="1"/>
    <col min="14101" max="14336" width="8.88671875" style="3135"/>
    <col min="14337" max="14337" width="9.44140625" style="3135" customWidth="1"/>
    <col min="14338" max="14338" width="8.88671875" style="3135"/>
    <col min="14339" max="14341" width="12.88671875" style="3135" customWidth="1"/>
    <col min="14342" max="14342" width="47.44140625" style="3135" customWidth="1"/>
    <col min="14343" max="14343" width="13" style="3135" customWidth="1"/>
    <col min="14344" max="14345" width="8.88671875" style="3135"/>
    <col min="14346" max="14346" width="5.77734375" style="3135" customWidth="1"/>
    <col min="14347" max="14347" width="11.77734375" style="3135" customWidth="1"/>
    <col min="14348" max="14349" width="10.77734375" style="3135" customWidth="1"/>
    <col min="14350" max="14350" width="10" style="3135" customWidth="1"/>
    <col min="14351" max="14352" width="10.44140625" style="3135" bestFit="1" customWidth="1"/>
    <col min="14353" max="14353" width="10" style="3135" customWidth="1"/>
    <col min="14354" max="14354" width="10.109375" style="3135" customWidth="1"/>
    <col min="14355" max="14355" width="10" style="3135" customWidth="1"/>
    <col min="14356" max="14356" width="26.109375" style="3135" customWidth="1"/>
    <col min="14357" max="14592" width="8.88671875" style="3135"/>
    <col min="14593" max="14593" width="9.44140625" style="3135" customWidth="1"/>
    <col min="14594" max="14594" width="8.88671875" style="3135"/>
    <col min="14595" max="14597" width="12.88671875" style="3135" customWidth="1"/>
    <col min="14598" max="14598" width="47.44140625" style="3135" customWidth="1"/>
    <col min="14599" max="14599" width="13" style="3135" customWidth="1"/>
    <col min="14600" max="14601" width="8.88671875" style="3135"/>
    <col min="14602" max="14602" width="5.77734375" style="3135" customWidth="1"/>
    <col min="14603" max="14603" width="11.77734375" style="3135" customWidth="1"/>
    <col min="14604" max="14605" width="10.77734375" style="3135" customWidth="1"/>
    <col min="14606" max="14606" width="10" style="3135" customWidth="1"/>
    <col min="14607" max="14608" width="10.44140625" style="3135" bestFit="1" customWidth="1"/>
    <col min="14609" max="14609" width="10" style="3135" customWidth="1"/>
    <col min="14610" max="14610" width="10.109375" style="3135" customWidth="1"/>
    <col min="14611" max="14611" width="10" style="3135" customWidth="1"/>
    <col min="14612" max="14612" width="26.109375" style="3135" customWidth="1"/>
    <col min="14613" max="14848" width="8.88671875" style="3135"/>
    <col min="14849" max="14849" width="9.44140625" style="3135" customWidth="1"/>
    <col min="14850" max="14850" width="8.88671875" style="3135"/>
    <col min="14851" max="14853" width="12.88671875" style="3135" customWidth="1"/>
    <col min="14854" max="14854" width="47.44140625" style="3135" customWidth="1"/>
    <col min="14855" max="14855" width="13" style="3135" customWidth="1"/>
    <col min="14856" max="14857" width="8.88671875" style="3135"/>
    <col min="14858" max="14858" width="5.77734375" style="3135" customWidth="1"/>
    <col min="14859" max="14859" width="11.77734375" style="3135" customWidth="1"/>
    <col min="14860" max="14861" width="10.77734375" style="3135" customWidth="1"/>
    <col min="14862" max="14862" width="10" style="3135" customWidth="1"/>
    <col min="14863" max="14864" width="10.44140625" style="3135" bestFit="1" customWidth="1"/>
    <col min="14865" max="14865" width="10" style="3135" customWidth="1"/>
    <col min="14866" max="14866" width="10.109375" style="3135" customWidth="1"/>
    <col min="14867" max="14867" width="10" style="3135" customWidth="1"/>
    <col min="14868" max="14868" width="26.109375" style="3135" customWidth="1"/>
    <col min="14869" max="15104" width="8.88671875" style="3135"/>
    <col min="15105" max="15105" width="9.44140625" style="3135" customWidth="1"/>
    <col min="15106" max="15106" width="8.88671875" style="3135"/>
    <col min="15107" max="15109" width="12.88671875" style="3135" customWidth="1"/>
    <col min="15110" max="15110" width="47.44140625" style="3135" customWidth="1"/>
    <col min="15111" max="15111" width="13" style="3135" customWidth="1"/>
    <col min="15112" max="15113" width="8.88671875" style="3135"/>
    <col min="15114" max="15114" width="5.77734375" style="3135" customWidth="1"/>
    <col min="15115" max="15115" width="11.77734375" style="3135" customWidth="1"/>
    <col min="15116" max="15117" width="10.77734375" style="3135" customWidth="1"/>
    <col min="15118" max="15118" width="10" style="3135" customWidth="1"/>
    <col min="15119" max="15120" width="10.44140625" style="3135" bestFit="1" customWidth="1"/>
    <col min="15121" max="15121" width="10" style="3135" customWidth="1"/>
    <col min="15122" max="15122" width="10.109375" style="3135" customWidth="1"/>
    <col min="15123" max="15123" width="10" style="3135" customWidth="1"/>
    <col min="15124" max="15124" width="26.109375" style="3135" customWidth="1"/>
    <col min="15125" max="15360" width="8.88671875" style="3135"/>
    <col min="15361" max="15361" width="9.44140625" style="3135" customWidth="1"/>
    <col min="15362" max="15362" width="8.88671875" style="3135"/>
    <col min="15363" max="15365" width="12.88671875" style="3135" customWidth="1"/>
    <col min="15366" max="15366" width="47.44140625" style="3135" customWidth="1"/>
    <col min="15367" max="15367" width="13" style="3135" customWidth="1"/>
    <col min="15368" max="15369" width="8.88671875" style="3135"/>
    <col min="15370" max="15370" width="5.77734375" style="3135" customWidth="1"/>
    <col min="15371" max="15371" width="11.77734375" style="3135" customWidth="1"/>
    <col min="15372" max="15373" width="10.77734375" style="3135" customWidth="1"/>
    <col min="15374" max="15374" width="10" style="3135" customWidth="1"/>
    <col min="15375" max="15376" width="10.44140625" style="3135" bestFit="1" customWidth="1"/>
    <col min="15377" max="15377" width="10" style="3135" customWidth="1"/>
    <col min="15378" max="15378" width="10.109375" style="3135" customWidth="1"/>
    <col min="15379" max="15379" width="10" style="3135" customWidth="1"/>
    <col min="15380" max="15380" width="26.109375" style="3135" customWidth="1"/>
    <col min="15381" max="15616" width="8.88671875" style="3135"/>
    <col min="15617" max="15617" width="9.44140625" style="3135" customWidth="1"/>
    <col min="15618" max="15618" width="8.88671875" style="3135"/>
    <col min="15619" max="15621" width="12.88671875" style="3135" customWidth="1"/>
    <col min="15622" max="15622" width="47.44140625" style="3135" customWidth="1"/>
    <col min="15623" max="15623" width="13" style="3135" customWidth="1"/>
    <col min="15624" max="15625" width="8.88671875" style="3135"/>
    <col min="15626" max="15626" width="5.77734375" style="3135" customWidth="1"/>
    <col min="15627" max="15627" width="11.77734375" style="3135" customWidth="1"/>
    <col min="15628" max="15629" width="10.77734375" style="3135" customWidth="1"/>
    <col min="15630" max="15630" width="10" style="3135" customWidth="1"/>
    <col min="15631" max="15632" width="10.44140625" style="3135" bestFit="1" customWidth="1"/>
    <col min="15633" max="15633" width="10" style="3135" customWidth="1"/>
    <col min="15634" max="15634" width="10.109375" style="3135" customWidth="1"/>
    <col min="15635" max="15635" width="10" style="3135" customWidth="1"/>
    <col min="15636" max="15636" width="26.109375" style="3135" customWidth="1"/>
    <col min="15637" max="15872" width="8.88671875" style="3135"/>
    <col min="15873" max="15873" width="9.44140625" style="3135" customWidth="1"/>
    <col min="15874" max="15874" width="8.88671875" style="3135"/>
    <col min="15875" max="15877" width="12.88671875" style="3135" customWidth="1"/>
    <col min="15878" max="15878" width="47.44140625" style="3135" customWidth="1"/>
    <col min="15879" max="15879" width="13" style="3135" customWidth="1"/>
    <col min="15880" max="15881" width="8.88671875" style="3135"/>
    <col min="15882" max="15882" width="5.77734375" style="3135" customWidth="1"/>
    <col min="15883" max="15883" width="11.77734375" style="3135" customWidth="1"/>
    <col min="15884" max="15885" width="10.77734375" style="3135" customWidth="1"/>
    <col min="15886" max="15886" width="10" style="3135" customWidth="1"/>
    <col min="15887" max="15888" width="10.44140625" style="3135" bestFit="1" customWidth="1"/>
    <col min="15889" max="15889" width="10" style="3135" customWidth="1"/>
    <col min="15890" max="15890" width="10.109375" style="3135" customWidth="1"/>
    <col min="15891" max="15891" width="10" style="3135" customWidth="1"/>
    <col min="15892" max="15892" width="26.109375" style="3135" customWidth="1"/>
    <col min="15893" max="16128" width="8.88671875" style="3135"/>
    <col min="16129" max="16129" width="9.44140625" style="3135" customWidth="1"/>
    <col min="16130" max="16130" width="8.88671875" style="3135"/>
    <col min="16131" max="16133" width="12.88671875" style="3135" customWidth="1"/>
    <col min="16134" max="16134" width="47.44140625" style="3135" customWidth="1"/>
    <col min="16135" max="16135" width="13" style="3135" customWidth="1"/>
    <col min="16136" max="16137" width="8.88671875" style="3135"/>
    <col min="16138" max="16138" width="5.77734375" style="3135" customWidth="1"/>
    <col min="16139" max="16139" width="11.77734375" style="3135" customWidth="1"/>
    <col min="16140" max="16141" width="10.77734375" style="3135" customWidth="1"/>
    <col min="16142" max="16142" width="10" style="3135" customWidth="1"/>
    <col min="16143" max="16144" width="10.44140625" style="3135" bestFit="1" customWidth="1"/>
    <col min="16145" max="16145" width="10" style="3135" customWidth="1"/>
    <col min="16146" max="16146" width="10.109375" style="3135" customWidth="1"/>
    <col min="16147" max="16147" width="10" style="3135" customWidth="1"/>
    <col min="16148" max="16148" width="26.109375" style="3135" customWidth="1"/>
    <col min="16149" max="16384" width="8.88671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2" customHeight="1">
      <c r="A2" s="3136" t="s">
        <v>2836</v>
      </c>
      <c r="B2" s="3137" t="e">
        <f>C40</f>
        <v>#DIV/0!</v>
      </c>
      <c r="C2" s="3138" t="s">
        <v>2837</v>
      </c>
      <c r="D2" s="3138"/>
      <c r="E2" s="3139"/>
      <c r="F2" s="3140"/>
      <c r="G2" s="3234"/>
      <c r="H2" s="3235"/>
      <c r="I2" s="3236"/>
      <c r="J2" s="3666" t="s">
        <v>2838</v>
      </c>
      <c r="K2" s="3667"/>
      <c r="L2" s="3237" t="s">
        <v>2839</v>
      </c>
      <c r="M2" s="3237" t="s">
        <v>2840</v>
      </c>
      <c r="N2" s="3237" t="s">
        <v>2841</v>
      </c>
      <c r="O2" s="3237" t="s">
        <v>2842</v>
      </c>
      <c r="P2" s="3237" t="s">
        <v>2843</v>
      </c>
      <c r="Q2" s="3238" t="s">
        <v>2844</v>
      </c>
      <c r="R2" s="3239" t="s">
        <v>2845</v>
      </c>
      <c r="S2" s="3233"/>
      <c r="T2" s="3233"/>
      <c r="U2" s="3233"/>
      <c r="V2" s="3236"/>
      <c r="W2" s="3235"/>
    </row>
    <row r="3" spans="1:23" s="3141" customFormat="1" ht="13.2" customHeight="1">
      <c r="A3" s="3143" t="s">
        <v>2846</v>
      </c>
      <c r="B3" s="3144" t="e">
        <f>ROUND(B2*10000/B4,0)</f>
        <v>#DIV/0!</v>
      </c>
      <c r="C3" s="3138" t="s">
        <v>2847</v>
      </c>
      <c r="D3" s="3138"/>
      <c r="E3" s="3139"/>
      <c r="F3" s="3140"/>
      <c r="G3" s="3234"/>
      <c r="H3" s="3235"/>
      <c r="I3" s="3236"/>
      <c r="J3" s="3668" t="s">
        <v>2848</v>
      </c>
      <c r="K3" s="3669"/>
      <c r="L3" s="3240"/>
      <c r="M3" s="3240"/>
      <c r="N3" s="3240"/>
      <c r="O3" s="3240"/>
      <c r="P3" s="3240"/>
      <c r="Q3" s="3241"/>
      <c r="R3" s="3242">
        <f>SUM(L3:Q3)</f>
        <v>0</v>
      </c>
      <c r="S3" s="3233"/>
      <c r="T3" s="3233"/>
      <c r="U3" s="3233"/>
      <c r="V3" s="3236"/>
      <c r="W3" s="3235"/>
    </row>
    <row r="4" spans="1:23" s="3141" customFormat="1" ht="13.2" customHeight="1">
      <c r="A4" s="3145" t="s">
        <v>2849</v>
      </c>
      <c r="B4" s="3202"/>
      <c r="C4" s="3138"/>
      <c r="D4" s="3138"/>
      <c r="E4" s="3139"/>
      <c r="F4" s="3140"/>
      <c r="G4" s="3234"/>
      <c r="H4" s="3235"/>
      <c r="I4" s="3236"/>
      <c r="J4" s="3668" t="s">
        <v>2850</v>
      </c>
      <c r="K4" s="3669"/>
      <c r="L4" s="3243"/>
      <c r="M4" s="3243"/>
      <c r="N4" s="3243"/>
      <c r="O4" s="3243"/>
      <c r="P4" s="3243"/>
      <c r="Q4" s="3244"/>
      <c r="R4" s="3245">
        <f>SUM(L4:Q4)</f>
        <v>0</v>
      </c>
      <c r="S4" s="3233"/>
      <c r="T4" s="3233"/>
      <c r="U4" s="3233"/>
      <c r="V4" s="3236"/>
      <c r="W4" s="3235"/>
    </row>
    <row r="5" spans="1:23" s="3141" customFormat="1" ht="13.2"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2" customHeight="1" thickBot="1">
      <c r="A6" s="3670" t="s">
        <v>2854</v>
      </c>
      <c r="B6" s="3671"/>
      <c r="C6" s="3672"/>
      <c r="D6" s="3204"/>
      <c r="E6" s="3148"/>
      <c r="F6" s="3149"/>
      <c r="G6" s="3249"/>
      <c r="H6" s="3235"/>
      <c r="I6" s="3236"/>
      <c r="J6" s="3673">
        <v>1</v>
      </c>
      <c r="K6" s="3674"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2" customHeight="1">
      <c r="A7" s="3151" t="s">
        <v>2864</v>
      </c>
      <c r="B7" s="3152"/>
      <c r="C7" s="3153"/>
      <c r="D7" s="3154">
        <f>SUM(D9,D10,D11,D17,0)</f>
        <v>0</v>
      </c>
      <c r="E7" s="3155" t="e">
        <f>E9+E10+E11+E17</f>
        <v>#DIV/0!</v>
      </c>
      <c r="F7" s="3156"/>
      <c r="G7" s="3252"/>
      <c r="H7" s="3235"/>
      <c r="I7" s="3236"/>
      <c r="J7" s="3673"/>
      <c r="K7" s="3675"/>
      <c r="L7" s="3253" t="s">
        <v>2964</v>
      </c>
      <c r="M7" s="3254"/>
      <c r="N7" s="3254"/>
      <c r="O7" s="3255"/>
      <c r="P7" s="3255"/>
      <c r="Q7" s="3256">
        <v>365</v>
      </c>
      <c r="R7" s="3257">
        <f>ROUND(M7*N7*O7*P7*Q7/10000,0)</f>
        <v>0</v>
      </c>
      <c r="S7" s="3233"/>
      <c r="T7" s="3233" t="s">
        <v>2865</v>
      </c>
      <c r="U7" s="3233"/>
      <c r="V7" s="3236"/>
      <c r="W7" s="3235"/>
    </row>
    <row r="8" spans="1:23" s="3141" customFormat="1" ht="13.2" customHeight="1">
      <c r="A8" s="3157" t="s">
        <v>2866</v>
      </c>
      <c r="B8" s="3677" t="s">
        <v>2867</v>
      </c>
      <c r="C8" s="3678"/>
      <c r="D8" s="3158" t="s">
        <v>2868</v>
      </c>
      <c r="E8" s="3159" t="s">
        <v>2869</v>
      </c>
      <c r="F8" s="3142" t="s">
        <v>2870</v>
      </c>
      <c r="G8" s="3312" t="s">
        <v>2978</v>
      </c>
      <c r="H8" s="3235"/>
      <c r="I8" s="3236"/>
      <c r="J8" s="3673"/>
      <c r="K8" s="3675"/>
      <c r="L8" s="3253" t="s">
        <v>2965</v>
      </c>
      <c r="M8" s="3254"/>
      <c r="N8" s="3254"/>
      <c r="O8" s="3255"/>
      <c r="P8" s="3255"/>
      <c r="Q8" s="3256">
        <v>365</v>
      </c>
      <c r="R8" s="3257">
        <f t="shared" ref="R8:R13" si="0">ROUND(M8*N8*O8*P8*Q8/10000,0)</f>
        <v>0</v>
      </c>
      <c r="S8" s="3233"/>
      <c r="T8" s="3233" t="s">
        <v>2871</v>
      </c>
      <c r="U8" s="3233"/>
      <c r="V8" s="3236"/>
      <c r="W8" s="3235"/>
    </row>
    <row r="9" spans="1:23" s="3141" customFormat="1" ht="13.2" customHeight="1">
      <c r="A9" s="3157">
        <v>1</v>
      </c>
      <c r="B9" s="3677" t="s">
        <v>2872</v>
      </c>
      <c r="C9" s="3678"/>
      <c r="D9" s="3158">
        <f>ROUND(D6*E9,0)</f>
        <v>0</v>
      </c>
      <c r="E9" s="3205"/>
      <c r="F9" s="3160" t="s">
        <v>2873</v>
      </c>
      <c r="G9" s="3258" t="s">
        <v>2976</v>
      </c>
      <c r="H9" s="3235"/>
      <c r="I9" s="3236"/>
      <c r="J9" s="3673"/>
      <c r="K9" s="3675"/>
      <c r="L9" s="3253" t="s">
        <v>2966</v>
      </c>
      <c r="M9" s="3254"/>
      <c r="N9" s="3254"/>
      <c r="O9" s="3255"/>
      <c r="P9" s="3255"/>
      <c r="Q9" s="3256">
        <v>365</v>
      </c>
      <c r="R9" s="3257">
        <f t="shared" si="0"/>
        <v>0</v>
      </c>
      <c r="S9" s="3233"/>
      <c r="T9" s="3233"/>
      <c r="U9" s="3233"/>
      <c r="V9" s="3236"/>
      <c r="W9" s="3235"/>
    </row>
    <row r="10" spans="1:23" s="3141" customFormat="1" ht="13.2" customHeight="1">
      <c r="A10" s="3157">
        <v>2</v>
      </c>
      <c r="B10" s="3677" t="s">
        <v>2874</v>
      </c>
      <c r="C10" s="3678"/>
      <c r="D10" s="3158">
        <f>ROUND(D6*E10,0)</f>
        <v>0</v>
      </c>
      <c r="E10" s="3205"/>
      <c r="F10" s="3160" t="s">
        <v>2875</v>
      </c>
      <c r="G10" s="3258" t="s">
        <v>2977</v>
      </c>
      <c r="H10" s="3235"/>
      <c r="I10" s="3236"/>
      <c r="J10" s="3673"/>
      <c r="K10" s="3675"/>
      <c r="L10" s="3253" t="s">
        <v>2967</v>
      </c>
      <c r="M10" s="3254"/>
      <c r="N10" s="3254"/>
      <c r="O10" s="3255"/>
      <c r="P10" s="3255"/>
      <c r="Q10" s="3256">
        <v>365</v>
      </c>
      <c r="R10" s="3257">
        <f t="shared" si="0"/>
        <v>0</v>
      </c>
      <c r="S10" s="3233"/>
      <c r="T10" s="3233"/>
      <c r="U10" s="3233"/>
      <c r="V10" s="3236"/>
      <c r="W10" s="3235"/>
    </row>
    <row r="11" spans="1:23" s="3141" customFormat="1" ht="13.2" customHeight="1">
      <c r="A11" s="3157">
        <v>3</v>
      </c>
      <c r="B11" s="3677" t="s">
        <v>2876</v>
      </c>
      <c r="C11" s="3678"/>
      <c r="D11" s="3158">
        <f>D12+D14+D15+D16</f>
        <v>0</v>
      </c>
      <c r="E11" s="3161" t="e">
        <f>D11/D6</f>
        <v>#DIV/0!</v>
      </c>
      <c r="F11" s="3142"/>
      <c r="G11" s="3258"/>
      <c r="H11" s="3235"/>
      <c r="I11" s="3236"/>
      <c r="J11" s="3673"/>
      <c r="K11" s="3675"/>
      <c r="L11" s="3253" t="s">
        <v>2968</v>
      </c>
      <c r="M11" s="3254"/>
      <c r="N11" s="3254"/>
      <c r="O11" s="3255"/>
      <c r="P11" s="3255"/>
      <c r="Q11" s="3256">
        <v>365</v>
      </c>
      <c r="R11" s="3257">
        <f t="shared" si="0"/>
        <v>0</v>
      </c>
      <c r="S11" s="3233"/>
      <c r="T11" s="3233"/>
      <c r="U11" s="3233"/>
      <c r="V11" s="3236"/>
      <c r="W11" s="3235"/>
    </row>
    <row r="12" spans="1:23" s="3141" customFormat="1" ht="13.2" customHeight="1">
      <c r="A12" s="3162" t="s">
        <v>2877</v>
      </c>
      <c r="B12" s="3679" t="s">
        <v>2878</v>
      </c>
      <c r="C12" s="3680"/>
      <c r="D12" s="3163">
        <f>ROUND(D13*1.2%*(1-30%),0)</f>
        <v>0</v>
      </c>
      <c r="E12" s="3164">
        <v>1.2E-2</v>
      </c>
      <c r="F12" s="3142" t="s">
        <v>2879</v>
      </c>
      <c r="G12" s="3258"/>
      <c r="H12" s="3235"/>
      <c r="I12" s="3236"/>
      <c r="J12" s="3673"/>
      <c r="K12" s="3675"/>
      <c r="L12" s="3253" t="s">
        <v>2969</v>
      </c>
      <c r="M12" s="3254"/>
      <c r="N12" s="3254"/>
      <c r="O12" s="3255"/>
      <c r="P12" s="3255"/>
      <c r="Q12" s="3256">
        <v>365</v>
      </c>
      <c r="R12" s="3257">
        <f t="shared" si="0"/>
        <v>0</v>
      </c>
      <c r="S12" s="3233"/>
      <c r="T12" s="3233"/>
      <c r="U12" s="3233"/>
      <c r="V12" s="3236"/>
      <c r="W12" s="3235"/>
    </row>
    <row r="13" spans="1:23" s="3141" customFormat="1" ht="13.2" customHeight="1">
      <c r="A13" s="3162"/>
      <c r="B13" s="3165"/>
      <c r="C13" s="3166" t="s">
        <v>2880</v>
      </c>
      <c r="D13" s="3206"/>
      <c r="E13" s="3167"/>
      <c r="F13" s="3142"/>
      <c r="G13" s="3258"/>
      <c r="H13" s="3235"/>
      <c r="I13" s="3236"/>
      <c r="J13" s="3673"/>
      <c r="K13" s="3675"/>
      <c r="L13" s="3253" t="s">
        <v>2970</v>
      </c>
      <c r="M13" s="3254"/>
      <c r="N13" s="3254"/>
      <c r="O13" s="3255"/>
      <c r="P13" s="3255"/>
      <c r="Q13" s="3256">
        <v>365</v>
      </c>
      <c r="R13" s="3257">
        <f t="shared" si="0"/>
        <v>0</v>
      </c>
      <c r="S13" s="3233"/>
      <c r="T13" s="3233"/>
      <c r="U13" s="3233"/>
      <c r="V13" s="3236"/>
      <c r="W13" s="3235"/>
    </row>
    <row r="14" spans="1:23" s="3141" customFormat="1" ht="13.2" customHeight="1">
      <c r="A14" s="3162" t="s">
        <v>2881</v>
      </c>
      <c r="B14" s="3679" t="s">
        <v>2882</v>
      </c>
      <c r="C14" s="3680"/>
      <c r="D14" s="3163">
        <f>ROUND(E14*B5/10000,0)</f>
        <v>0</v>
      </c>
      <c r="E14" s="3207"/>
      <c r="F14" s="3142" t="s">
        <v>2883</v>
      </c>
      <c r="G14" s="3258"/>
      <c r="H14" s="3235"/>
      <c r="I14" s="3236"/>
      <c r="J14" s="3673"/>
      <c r="K14" s="3676"/>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2" customHeight="1">
      <c r="A15" s="3162" t="s">
        <v>2885</v>
      </c>
      <c r="B15" s="3679" t="s">
        <v>2886</v>
      </c>
      <c r="C15" s="3680"/>
      <c r="D15" s="3163">
        <f>ROUND(D6*E15,0)</f>
        <v>0</v>
      </c>
      <c r="E15" s="3164">
        <v>5.5E-2</v>
      </c>
      <c r="F15" s="3142" t="s">
        <v>2887</v>
      </c>
      <c r="G15" s="3258"/>
      <c r="H15" s="3235"/>
      <c r="I15" s="3236"/>
      <c r="J15" s="3673">
        <v>2</v>
      </c>
      <c r="K15" s="3674"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2" customHeight="1">
      <c r="A16" s="3162" t="s">
        <v>2896</v>
      </c>
      <c r="B16" s="3679" t="s">
        <v>2897</v>
      </c>
      <c r="C16" s="3680"/>
      <c r="D16" s="3208">
        <f>D6*E16</f>
        <v>0</v>
      </c>
      <c r="E16" s="3209"/>
      <c r="F16" s="3160" t="s">
        <v>2898</v>
      </c>
      <c r="G16" s="3258"/>
      <c r="H16" s="3235"/>
      <c r="I16" s="3236"/>
      <c r="J16" s="3673"/>
      <c r="K16" s="3675"/>
      <c r="L16" s="3253" t="s">
        <v>2971</v>
      </c>
      <c r="M16" s="3254"/>
      <c r="N16" s="3254"/>
      <c r="O16" s="3255"/>
      <c r="P16" s="3256">
        <v>365</v>
      </c>
      <c r="Q16" s="3254"/>
      <c r="R16" s="3267">
        <f>ROUND(M16*N16*O16*P16/10000,0)</f>
        <v>0</v>
      </c>
      <c r="S16" s="3233"/>
      <c r="T16" s="3233"/>
      <c r="U16" s="3233"/>
      <c r="V16" s="3236"/>
      <c r="W16" s="3235"/>
    </row>
    <row r="17" spans="1:23" s="3141" customFormat="1" ht="13.2" customHeight="1" thickBot="1">
      <c r="A17" s="3168">
        <v>4</v>
      </c>
      <c r="B17" s="3681" t="s">
        <v>2899</v>
      </c>
      <c r="C17" s="3682"/>
      <c r="D17" s="3169">
        <f>ROUND(D6*E17,0)</f>
        <v>0</v>
      </c>
      <c r="E17" s="3210"/>
      <c r="F17" s="3170" t="s">
        <v>2900</v>
      </c>
      <c r="G17" s="3311">
        <v>0.1</v>
      </c>
      <c r="H17" s="3235"/>
      <c r="I17" s="3236"/>
      <c r="J17" s="3673"/>
      <c r="K17" s="3675"/>
      <c r="L17" s="3253" t="s">
        <v>2972</v>
      </c>
      <c r="M17" s="3254"/>
      <c r="N17" s="3254"/>
      <c r="O17" s="3255"/>
      <c r="P17" s="3256">
        <v>365</v>
      </c>
      <c r="Q17" s="3254"/>
      <c r="R17" s="3267">
        <f>ROUND(M17*N17*O17*P17/10000,0)</f>
        <v>0</v>
      </c>
      <c r="S17" s="3233"/>
      <c r="T17" s="3233"/>
      <c r="U17" s="3233"/>
      <c r="V17" s="3236"/>
      <c r="W17" s="3235"/>
    </row>
    <row r="18" spans="1:23" s="3141" customFormat="1" ht="13.2" customHeight="1" thickBot="1">
      <c r="A18" s="3151" t="s">
        <v>2901</v>
      </c>
      <c r="B18" s="3152"/>
      <c r="C18" s="3152"/>
      <c r="D18" s="3171">
        <f>ROUND(D6*E18,0)</f>
        <v>0</v>
      </c>
      <c r="E18" s="3211"/>
      <c r="F18" s="3172" t="s">
        <v>2902</v>
      </c>
      <c r="G18" s="3311">
        <v>0.05</v>
      </c>
      <c r="H18" s="3235"/>
      <c r="I18" s="3236"/>
      <c r="J18" s="3673"/>
      <c r="K18" s="3675"/>
      <c r="L18" s="3253" t="s">
        <v>2973</v>
      </c>
      <c r="M18" s="3254"/>
      <c r="N18" s="3254"/>
      <c r="O18" s="3255"/>
      <c r="P18" s="3256">
        <v>365</v>
      </c>
      <c r="Q18" s="3254"/>
      <c r="R18" s="3267">
        <f>ROUND(M18*N18*O18*P18/10000,0)</f>
        <v>0</v>
      </c>
      <c r="S18" s="3233"/>
      <c r="T18" s="3233"/>
      <c r="U18" s="3233"/>
      <c r="V18" s="3236"/>
      <c r="W18" s="3235"/>
    </row>
    <row r="19" spans="1:23" s="3141" customFormat="1" ht="13.2" customHeight="1" thickBot="1">
      <c r="A19" s="3173" t="s">
        <v>2903</v>
      </c>
      <c r="B19" s="3148"/>
      <c r="C19" s="3148"/>
      <c r="D19" s="3148"/>
      <c r="E19" s="3148"/>
      <c r="F19" s="3149"/>
      <c r="G19" s="3258"/>
      <c r="H19" s="3235"/>
      <c r="I19" s="3236"/>
      <c r="J19" s="3673"/>
      <c r="K19" s="3676"/>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2" customHeight="1">
      <c r="A20" s="3151"/>
      <c r="B20" s="3152"/>
      <c r="C20" s="3152"/>
      <c r="D20" s="3152"/>
      <c r="E20" s="3152"/>
      <c r="F20" s="3174"/>
      <c r="G20" s="3258"/>
      <c r="H20" s="3235"/>
      <c r="I20" s="3236"/>
      <c r="J20" s="3673">
        <v>3</v>
      </c>
      <c r="K20" s="3674"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2" customHeight="1">
      <c r="A21" s="3151"/>
      <c r="B21" s="3152"/>
      <c r="C21" s="3175" t="s">
        <v>2909</v>
      </c>
      <c r="D21" s="3176" t="s">
        <v>2910</v>
      </c>
      <c r="E21" s="3177" t="s">
        <v>2911</v>
      </c>
      <c r="F21" s="3174"/>
      <c r="G21" s="3258"/>
      <c r="H21" s="3235"/>
      <c r="I21" s="3236"/>
      <c r="J21" s="3673"/>
      <c r="K21" s="3675"/>
      <c r="L21" s="3263" t="s">
        <v>2912</v>
      </c>
      <c r="M21" s="3264"/>
      <c r="N21" s="3264"/>
      <c r="O21" s="3265"/>
      <c r="P21" s="3207">
        <v>365</v>
      </c>
      <c r="Q21" s="3202"/>
      <c r="R21" s="3272">
        <f>ROUND(M21*N21*O21*P21/10000,0)</f>
        <v>0</v>
      </c>
      <c r="S21" s="3271"/>
      <c r="T21" s="3271"/>
      <c r="U21" s="3271"/>
      <c r="V21" s="3236"/>
      <c r="W21" s="3235"/>
    </row>
    <row r="22" spans="1:23" s="3141" customFormat="1" ht="13.2" customHeight="1">
      <c r="A22" s="3151"/>
      <c r="B22" s="3152"/>
      <c r="C22" s="3212" t="s">
        <v>2913</v>
      </c>
      <c r="D22" s="3213" t="s">
        <v>2914</v>
      </c>
      <c r="E22" s="3214" t="s">
        <v>2915</v>
      </c>
      <c r="F22" s="3174"/>
      <c r="G22" s="3273"/>
      <c r="H22" s="3235"/>
      <c r="I22" s="3236"/>
      <c r="J22" s="3673"/>
      <c r="K22" s="3675"/>
      <c r="L22" s="3263" t="s">
        <v>2916</v>
      </c>
      <c r="M22" s="3264"/>
      <c r="N22" s="3264"/>
      <c r="O22" s="3265"/>
      <c r="P22" s="3207">
        <v>365</v>
      </c>
      <c r="Q22" s="3202"/>
      <c r="R22" s="3272">
        <f>ROUND(M22*N22*O22*P22/10000,0)</f>
        <v>0</v>
      </c>
      <c r="S22" s="3271"/>
      <c r="T22" s="3271"/>
      <c r="U22" s="3271"/>
      <c r="V22" s="3236"/>
      <c r="W22" s="3235"/>
    </row>
    <row r="23" spans="1:23" s="3141" customFormat="1" ht="13.2" customHeight="1">
      <c r="A23" s="3178">
        <v>1</v>
      </c>
      <c r="B23" s="3150" t="s">
        <v>2917</v>
      </c>
      <c r="C23" s="3179">
        <f>D6</f>
        <v>0</v>
      </c>
      <c r="D23" s="3180">
        <f>C23*(1+D24)</f>
        <v>0</v>
      </c>
      <c r="E23" s="3181">
        <f>D23*(1+E24)</f>
        <v>0</v>
      </c>
      <c r="F23" s="3182"/>
      <c r="G23" s="3274"/>
      <c r="H23" s="3235"/>
      <c r="I23" s="3236"/>
      <c r="J23" s="3673"/>
      <c r="K23" s="3675"/>
      <c r="L23" s="3263" t="s">
        <v>2918</v>
      </c>
      <c r="M23" s="3264"/>
      <c r="N23" s="3264"/>
      <c r="O23" s="3265"/>
      <c r="P23" s="3207">
        <v>365</v>
      </c>
      <c r="Q23" s="3202"/>
      <c r="R23" s="3272">
        <f>ROUND(M23*N23*O23*P23/10000,0)</f>
        <v>0</v>
      </c>
      <c r="S23" s="3233"/>
      <c r="T23" s="3233"/>
      <c r="U23" s="3233"/>
      <c r="V23" s="3236"/>
      <c r="W23" s="3235"/>
    </row>
    <row r="24" spans="1:23" s="3141" customFormat="1" ht="13.2" customHeight="1">
      <c r="A24" s="3183"/>
      <c r="B24" s="3184" t="s">
        <v>2919</v>
      </c>
      <c r="C24" s="3185"/>
      <c r="D24" s="3215"/>
      <c r="E24" s="3216"/>
      <c r="F24" s="3186"/>
      <c r="G24" s="3274"/>
      <c r="H24" s="3235"/>
      <c r="I24" s="3236"/>
      <c r="J24" s="3673"/>
      <c r="K24" s="3676"/>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2"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2" customHeight="1">
      <c r="A26" s="3178">
        <v>2</v>
      </c>
      <c r="B26" s="3150" t="s">
        <v>2921</v>
      </c>
      <c r="C26" s="3179">
        <f>D7</f>
        <v>0</v>
      </c>
      <c r="D26" s="3180">
        <f>D23*D27</f>
        <v>0</v>
      </c>
      <c r="E26" s="3181">
        <f>E23*E27</f>
        <v>0</v>
      </c>
      <c r="F26" s="3182"/>
      <c r="G26" s="3274"/>
      <c r="H26" s="3235"/>
      <c r="I26" s="3236"/>
      <c r="J26" s="3683">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2" customHeight="1">
      <c r="A27" s="3183"/>
      <c r="B27" s="3184" t="s">
        <v>2927</v>
      </c>
      <c r="C27" s="3188" t="e">
        <f>E7</f>
        <v>#DIV/0!</v>
      </c>
      <c r="D27" s="3215"/>
      <c r="E27" s="3216"/>
      <c r="F27" s="3186"/>
      <c r="G27" s="3274"/>
      <c r="H27" s="3281"/>
      <c r="I27" s="3280"/>
      <c r="J27" s="3684"/>
      <c r="K27" s="3288"/>
      <c r="L27" s="3289"/>
      <c r="M27" s="3290"/>
      <c r="N27" s="3291"/>
      <c r="O27" s="3291"/>
      <c r="P27" s="3291"/>
      <c r="Q27" s="3292"/>
      <c r="R27" s="3269">
        <f>ROUND(O27*N27*P27*(1-Q27)/10000,0)</f>
        <v>0</v>
      </c>
      <c r="S27" s="3233"/>
      <c r="T27" s="3233"/>
      <c r="U27" s="3233"/>
      <c r="V27" s="3236"/>
      <c r="W27" s="3235"/>
    </row>
    <row r="28" spans="1:23" s="3187" customFormat="1" ht="13.2"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2"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2"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2"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2" customHeight="1">
      <c r="A32" s="3178">
        <v>4</v>
      </c>
      <c r="B32" s="3150" t="s">
        <v>2935</v>
      </c>
      <c r="C32" s="3179">
        <f>C23-C26-C29</f>
        <v>0</v>
      </c>
      <c r="D32" s="3180">
        <f>D23-D26-D29</f>
        <v>0</v>
      </c>
      <c r="E32" s="3181">
        <f>E23-E26-E29</f>
        <v>0</v>
      </c>
      <c r="F32" s="3182"/>
      <c r="G32" s="3273"/>
      <c r="H32" s="3235"/>
      <c r="I32" s="3236"/>
      <c r="J32" s="3666" t="s">
        <v>2936</v>
      </c>
      <c r="K32" s="3667"/>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2" customHeight="1">
      <c r="A33" s="3178"/>
      <c r="B33" s="3150"/>
      <c r="C33" s="3179"/>
      <c r="D33" s="3190"/>
      <c r="E33" s="3191"/>
      <c r="F33" s="3182"/>
      <c r="G33" s="3273"/>
      <c r="H33" s="3281"/>
      <c r="I33" s="3280"/>
      <c r="J33" s="3668" t="s">
        <v>2940</v>
      </c>
      <c r="K33" s="3669"/>
      <c r="L33" s="3240"/>
      <c r="M33" s="3240"/>
      <c r="N33" s="3240"/>
      <c r="O33" s="3240"/>
      <c r="P33" s="3240"/>
      <c r="Q33" s="3241"/>
      <c r="R33" s="3301">
        <f>SUM(L33:Q33)</f>
        <v>0</v>
      </c>
      <c r="S33" s="3271"/>
      <c r="T33" s="3233"/>
      <c r="U33" s="3233"/>
      <c r="V33" s="3236"/>
      <c r="W33" s="3235"/>
    </row>
    <row r="34" spans="1:23" s="3141" customFormat="1" ht="13.2" customHeight="1">
      <c r="A34" s="3178">
        <v>5</v>
      </c>
      <c r="B34" s="3150" t="s">
        <v>2941</v>
      </c>
      <c r="C34" s="3218"/>
      <c r="D34" s="3219"/>
      <c r="E34" s="3220"/>
      <c r="F34" s="3182"/>
      <c r="G34" s="3273"/>
      <c r="H34" s="3281"/>
      <c r="I34" s="3280"/>
      <c r="J34" s="3668" t="s">
        <v>2942</v>
      </c>
      <c r="K34" s="3669"/>
      <c r="L34" s="3243"/>
      <c r="M34" s="3243"/>
      <c r="N34" s="3243"/>
      <c r="O34" s="3243"/>
      <c r="P34" s="3243"/>
      <c r="Q34" s="3244"/>
      <c r="R34" s="3302">
        <f>SUM(L34:Q34)</f>
        <v>0</v>
      </c>
      <c r="S34" s="3271"/>
      <c r="T34" s="3233"/>
      <c r="U34" s="3233" t="e">
        <f>ROUND(R35*10000/365/R33,1)</f>
        <v>#DIV/0!</v>
      </c>
      <c r="V34" s="3236"/>
      <c r="W34" s="3235"/>
    </row>
    <row r="35" spans="1:23" s="3141" customFormat="1" ht="13.2"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2" customHeight="1" thickBot="1">
      <c r="A36" s="3178">
        <v>7</v>
      </c>
      <c r="B36" s="3192" t="s">
        <v>2946</v>
      </c>
      <c r="C36" s="3224"/>
      <c r="D36" s="3225"/>
      <c r="E36" s="3226"/>
      <c r="F36" s="3193">
        <f>C36+D36+E36</f>
        <v>0</v>
      </c>
      <c r="G36" s="3273"/>
      <c r="H36" s="3235"/>
      <c r="I36" s="3236"/>
      <c r="J36" s="3673">
        <v>1</v>
      </c>
      <c r="K36" s="3674" t="s">
        <v>2947</v>
      </c>
      <c r="L36" s="3250"/>
      <c r="M36" s="3251"/>
      <c r="N36" s="3251"/>
      <c r="O36" s="3251"/>
      <c r="P36" s="3251"/>
      <c r="Q36" s="3251"/>
      <c r="R36" s="3242" t="s">
        <v>2895</v>
      </c>
      <c r="S36" s="3271"/>
      <c r="T36" s="3233" t="s">
        <v>2948</v>
      </c>
      <c r="U36" s="3233"/>
      <c r="V36" s="3236"/>
      <c r="W36" s="3235"/>
    </row>
    <row r="37" spans="1:23" s="3141" customFormat="1" ht="13.2" customHeight="1">
      <c r="A37" s="3178"/>
      <c r="B37" s="3150"/>
      <c r="C37" s="3150"/>
      <c r="D37" s="3150"/>
      <c r="E37" s="3150"/>
      <c r="F37" s="3182"/>
      <c r="G37" s="3273"/>
      <c r="H37" s="3235"/>
      <c r="I37" s="3236"/>
      <c r="J37" s="3673"/>
      <c r="K37" s="3675"/>
      <c r="L37" s="3263"/>
      <c r="M37" s="3264"/>
      <c r="N37" s="3202"/>
      <c r="O37" s="3265"/>
      <c r="P37" s="3265"/>
      <c r="Q37" s="3207"/>
      <c r="R37" s="3305"/>
      <c r="S37" s="3271"/>
      <c r="T37" s="3233" t="s">
        <v>2949</v>
      </c>
      <c r="U37" s="3233"/>
      <c r="V37" s="3236"/>
      <c r="W37" s="3235"/>
    </row>
    <row r="38" spans="1:23" s="3141" customFormat="1" ht="13.2" customHeight="1">
      <c r="A38" s="3178">
        <v>8</v>
      </c>
      <c r="B38" s="3150"/>
      <c r="C38" s="3158" t="e">
        <f>ROUND(C32*(1-((1+C35)/(1+C34))^C36)/(C34-C35),0)</f>
        <v>#DIV/0!</v>
      </c>
      <c r="D38" s="3158">
        <f>IF(D23=0,0,ROUND(D32*(1-((1+D35)/(1+D34))^D36)/(D34-D35),0))</f>
        <v>0</v>
      </c>
      <c r="E38" s="3158">
        <f>IF(E23=0,0,ROUND(E32*(1-((1+E35)/(1+E34))^E36)/(E34-E35),0))</f>
        <v>0</v>
      </c>
      <c r="F38" s="3182"/>
      <c r="G38" s="3273"/>
      <c r="H38" s="3235"/>
      <c r="I38" s="3236"/>
      <c r="J38" s="3673"/>
      <c r="K38" s="3675"/>
      <c r="L38" s="3263"/>
      <c r="M38" s="3264"/>
      <c r="N38" s="3202"/>
      <c r="O38" s="3265"/>
      <c r="P38" s="3265"/>
      <c r="Q38" s="3207"/>
      <c r="R38" s="3305"/>
      <c r="S38" s="3271"/>
      <c r="T38" s="3233" t="s">
        <v>2871</v>
      </c>
      <c r="U38" s="3233"/>
      <c r="V38" s="3236"/>
      <c r="W38" s="3235"/>
    </row>
    <row r="39" spans="1:23" s="3141" customFormat="1" ht="13.2" customHeight="1">
      <c r="A39" s="3178">
        <v>9</v>
      </c>
      <c r="B39" s="3150" t="s">
        <v>2950</v>
      </c>
      <c r="C39" s="3163" t="e">
        <f>C38</f>
        <v>#DIV/0!</v>
      </c>
      <c r="D39" s="3150">
        <f>D38/(1+D34)^C36</f>
        <v>0</v>
      </c>
      <c r="E39" s="3150">
        <f>E38/(1+E34)^(C36+D36)</f>
        <v>0</v>
      </c>
      <c r="F39" s="3182"/>
      <c r="G39" s="3306"/>
      <c r="H39" s="3235"/>
      <c r="I39" s="3236"/>
      <c r="J39" s="3673"/>
      <c r="K39" s="3675"/>
      <c r="L39" s="3263"/>
      <c r="M39" s="3264"/>
      <c r="N39" s="3202"/>
      <c r="O39" s="3265"/>
      <c r="P39" s="3265"/>
      <c r="Q39" s="3207"/>
      <c r="R39" s="3305"/>
      <c r="S39" s="3271"/>
      <c r="T39" s="3233"/>
      <c r="U39" s="3233"/>
      <c r="V39" s="3236"/>
      <c r="W39" s="3235"/>
    </row>
    <row r="40" spans="1:23" s="3141" customFormat="1" ht="13.2" customHeight="1">
      <c r="A40" s="3194">
        <v>10</v>
      </c>
      <c r="B40" s="3150" t="s">
        <v>2951</v>
      </c>
      <c r="C40" s="3195" t="e">
        <f>C39+D39+E39</f>
        <v>#DIV/0!</v>
      </c>
      <c r="D40" s="3196"/>
      <c r="E40" s="3196"/>
      <c r="F40" s="3197"/>
      <c r="G40" s="3273"/>
      <c r="H40" s="3235"/>
      <c r="I40" s="3236"/>
      <c r="J40" s="3673"/>
      <c r="K40" s="3676"/>
      <c r="L40" s="3259" t="s">
        <v>2952</v>
      </c>
      <c r="M40" s="3260"/>
      <c r="N40" s="3260"/>
      <c r="O40" s="3261"/>
      <c r="P40" s="3261"/>
      <c r="Q40" s="3262"/>
      <c r="R40" s="3239">
        <f>SUM(R37:R39)</f>
        <v>0</v>
      </c>
      <c r="S40" s="3271"/>
      <c r="T40" s="3233"/>
      <c r="U40" s="3233"/>
      <c r="V40" s="3236"/>
      <c r="W40" s="3235"/>
    </row>
    <row r="41" spans="1:23" s="3141" customFormat="1" ht="13.2"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2" customHeight="1">
      <c r="G42" s="3307"/>
      <c r="H42" s="3235"/>
      <c r="I42" s="3236"/>
      <c r="J42" s="3683">
        <v>3</v>
      </c>
      <c r="K42" s="3282" t="s">
        <v>2955</v>
      </c>
      <c r="L42" s="3283"/>
      <c r="M42" s="3284"/>
      <c r="N42" s="3285" t="s">
        <v>2956</v>
      </c>
      <c r="O42" s="3285" t="s">
        <v>2957</v>
      </c>
      <c r="P42" s="3286" t="s">
        <v>2958</v>
      </c>
      <c r="Q42" s="3286" t="s">
        <v>2959</v>
      </c>
      <c r="R42" s="3242" t="s">
        <v>2862</v>
      </c>
      <c r="S42" s="3287"/>
      <c r="T42" s="3287"/>
      <c r="U42" s="3233"/>
      <c r="V42" s="3236"/>
      <c r="W42" s="3235"/>
    </row>
    <row r="43" spans="1:23" ht="13.2" customHeight="1">
      <c r="A43" s="3141"/>
      <c r="B43" s="3141"/>
      <c r="C43" s="3141"/>
      <c r="D43" s="3141"/>
      <c r="E43" s="3141"/>
      <c r="F43" s="3141"/>
      <c r="I43" s="3228"/>
      <c r="J43" s="3684"/>
      <c r="K43" s="3288"/>
      <c r="L43" s="3289"/>
      <c r="M43" s="3290"/>
      <c r="N43" s="3264"/>
      <c r="O43" s="3264"/>
      <c r="P43" s="3264"/>
      <c r="Q43" s="3279"/>
      <c r="R43" s="3269">
        <f>ROUND(O43*N43*P43*(1-Q43)/10000,0)</f>
        <v>0</v>
      </c>
      <c r="S43" s="3271"/>
      <c r="T43" s="3233"/>
      <c r="V43" s="3309"/>
      <c r="W43" s="3229"/>
    </row>
    <row r="44" spans="1:23" ht="13.2"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28" sqref="AC28:AD28"/>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2152</v>
      </c>
      <c r="B2" s="250">
        <f ca="1">B23</f>
        <v>1138</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2153</v>
      </c>
      <c r="B3" s="250">
        <f ca="1">B24</f>
        <v>28925</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8" t="s">
        <v>2156</v>
      </c>
      <c r="D4" s="3689"/>
      <c r="E4" s="3689"/>
      <c r="F4" s="3689"/>
      <c r="G4" s="3689"/>
      <c r="H4" s="3689"/>
      <c r="I4" s="3689"/>
      <c r="J4" s="3689"/>
      <c r="K4" s="3689"/>
      <c r="L4" s="3689"/>
      <c r="M4" s="3689"/>
      <c r="N4" s="3689"/>
      <c r="O4" s="3689"/>
      <c r="P4" s="3689"/>
      <c r="Q4" s="3689"/>
      <c r="R4" s="3689"/>
      <c r="S4" s="3690"/>
      <c r="T4" s="575" t="s">
        <v>2157</v>
      </c>
      <c r="U4" s="999"/>
      <c r="V4" s="999"/>
      <c r="X4" s="999"/>
      <c r="Y4" s="999"/>
    </row>
    <row r="5" spans="1:44" s="587" customFormat="1" ht="39.6">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319" t="s">
        <v>3015</v>
      </c>
      <c r="D20" s="3320" t="s">
        <v>3016</v>
      </c>
      <c r="E20" s="3320" t="s">
        <v>3017</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2" thickBot="1">
      <c r="A23" s="81" t="s">
        <v>2168</v>
      </c>
      <c r="B23" s="224">
        <f ca="1">IF(F23="——",IF(C23="万元",T25,S25),IF(C23="万元",T25-H23,S25-H23))</f>
        <v>1138</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6">
      <c r="A24" s="1524" t="s">
        <v>2169</v>
      </c>
      <c r="B24" s="224">
        <f ca="1">ROUND(B23*10000/B25,0)</f>
        <v>28925</v>
      </c>
      <c r="C24" s="864"/>
      <c r="D24" s="37"/>
      <c r="E24" s="37"/>
      <c r="F24" s="37"/>
      <c r="G24" s="37"/>
      <c r="H24" s="37"/>
      <c r="I24" s="37"/>
      <c r="J24" s="37"/>
      <c r="K24" s="37"/>
      <c r="L24" s="37"/>
      <c r="M24" s="37"/>
      <c r="N24" s="37"/>
      <c r="O24" s="37"/>
      <c r="P24" s="37"/>
      <c r="Q24" s="37"/>
      <c r="R24" s="645"/>
      <c r="S24" s="13" t="s">
        <v>2170</v>
      </c>
      <c r="T24" s="1301" t="s">
        <v>2171</v>
      </c>
      <c r="U24" s="2214" t="s">
        <v>2172</v>
      </c>
      <c r="V24" s="2955"/>
      <c r="W24" s="2956" t="s">
        <v>2173</v>
      </c>
      <c r="X24" s="2214" t="s">
        <v>2174</v>
      </c>
      <c r="Y24" s="2955"/>
      <c r="Z24" s="2957" t="s">
        <v>2173</v>
      </c>
    </row>
    <row r="25" spans="1:45">
      <c r="A25" s="250" t="s">
        <v>2175</v>
      </c>
      <c r="B25" s="13">
        <f>SUM(B27:B10000)</f>
        <v>393.43</v>
      </c>
      <c r="C25" s="3685" t="s">
        <v>45</v>
      </c>
      <c r="D25" s="3686"/>
      <c r="E25" s="3686"/>
      <c r="F25" s="3686"/>
      <c r="G25" s="3686"/>
      <c r="H25" s="3686"/>
      <c r="I25" s="3686"/>
      <c r="J25" s="3686"/>
      <c r="K25" s="3686"/>
      <c r="L25" s="3686"/>
      <c r="M25" s="3686"/>
      <c r="N25" s="3686"/>
      <c r="O25" s="3686"/>
      <c r="P25" s="3686"/>
      <c r="Q25" s="3687"/>
      <c r="R25" s="597">
        <f ca="1">IF(C23="万元",ROUND(T25*10000/B25,0),ROUND(S25/B25,0))</f>
        <v>28925</v>
      </c>
      <c r="S25" s="13">
        <f ca="1">SUM(S27:S10000)</f>
        <v>11379964</v>
      </c>
      <c r="T25" s="13">
        <f ca="1">SUM(T27:T10000)</f>
        <v>1138</v>
      </c>
      <c r="U25" s="17">
        <f>SUM(U27:U10000)</f>
        <v>0</v>
      </c>
      <c r="V25" s="17">
        <f>SUM(V27:V10000)</f>
        <v>0</v>
      </c>
      <c r="W25" s="2959"/>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321" t="s">
        <v>3018</v>
      </c>
      <c r="Q27" s="901">
        <v>1</v>
      </c>
      <c r="R27" s="907">
        <f ca="1">'结果表 (1修多)'!G20</f>
        <v>28925</v>
      </c>
      <c r="S27" s="600">
        <f ca="1">ROUND(R27*B27,0)</f>
        <v>3630377</v>
      </c>
      <c r="T27" s="600">
        <f ca="1">ROUND(R27*B27/10000,0)</f>
        <v>363</v>
      </c>
      <c r="U27" s="2958">
        <f>ROUND(W27*B27,0)</f>
        <v>0</v>
      </c>
      <c r="V27" s="2958">
        <f>ROUND(W27*B27/10000,0)</f>
        <v>0</v>
      </c>
      <c r="W27" s="997"/>
      <c r="X27" s="2958">
        <f>ROUND(Z27*B27,0)</f>
        <v>0</v>
      </c>
      <c r="Y27" s="2958">
        <f>ROUND(Z27*B27/10000,0)</f>
        <v>0</v>
      </c>
      <c r="Z27" s="997"/>
      <c r="AA27" s="664"/>
      <c r="AB27" s="664">
        <v>402.76</v>
      </c>
      <c r="AC27" s="664">
        <f>AB27*10000/B27</f>
        <v>32089.873316867179</v>
      </c>
      <c r="AD27" s="664">
        <f ca="1">(AC27-R27)/AC27</f>
        <v>9.8625297944185036E-2</v>
      </c>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1" t="s">
        <v>3018</v>
      </c>
      <c r="Q28" s="13">
        <f t="shared" ref="Q28:Q91" si="21">(SUMIF($20:$20,P28,$21:$21)-SUMIF($20:$20,$P$27,$21:$21)+100)/100</f>
        <v>1</v>
      </c>
      <c r="R28" s="597">
        <f ca="1">IF(B28="",0,ROUND($R$27*C28*E28*G28*I28*K28*M28*O28*Q28,0))</f>
        <v>28925</v>
      </c>
      <c r="S28" s="250">
        <f ca="1">ROUND(R28*B28,0)</f>
        <v>3302657</v>
      </c>
      <c r="T28" s="901">
        <f ca="1">ROUND(R28*B28/10000,0)</f>
        <v>330</v>
      </c>
      <c r="U28" s="2958">
        <f t="shared" ref="U28:U91" si="22">ROUND(W28*B28,0)</f>
        <v>0</v>
      </c>
      <c r="V28" s="2958">
        <f t="shared" ref="V28:V91" si="23">ROUND(W28*B28/10000,0)</f>
        <v>0</v>
      </c>
      <c r="W28" s="998"/>
      <c r="X28" s="2958">
        <f t="shared" ref="X28:X91" si="24">ROUND(Z28*B28,0)</f>
        <v>0</v>
      </c>
      <c r="Y28" s="2958">
        <f t="shared" ref="Y28:Y91" si="25">ROUND(Z28*B28/10000,0)</f>
        <v>0</v>
      </c>
      <c r="Z28" s="998"/>
      <c r="AB28" s="659">
        <v>366.4</v>
      </c>
      <c r="AC28" s="664">
        <f>AB28*10000/B28</f>
        <v>32089.682956734978</v>
      </c>
      <c r="AD28" s="664">
        <f ca="1">(AC28-R28)/AC28</f>
        <v>9.861995087336238E-2</v>
      </c>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321" t="s">
        <v>3015</v>
      </c>
      <c r="Q29" s="13">
        <f t="shared" si="21"/>
        <v>1</v>
      </c>
      <c r="R29" s="597">
        <f t="shared" ref="R29:R92" ca="1" si="26">IF(B29="",0,ROUND($R$27*C29*E29*G29*I29*K29*M29*O29*Q29,0))</f>
        <v>28925</v>
      </c>
      <c r="S29" s="250">
        <f t="shared" ref="S29:S92" ca="1" si="27">ROUND(R29*B29,0)</f>
        <v>4446930</v>
      </c>
      <c r="T29" s="901">
        <f t="shared" ref="T29:T92" ca="1" si="28">ROUND(R29*B29/10000,0)</f>
        <v>445</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6" customWidth="1"/>
    <col min="2" max="2" width="15.77734375" style="1636" customWidth="1"/>
    <col min="3" max="3" width="15.10937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4.4">
      <c r="A4" s="1632" t="s">
        <v>2188</v>
      </c>
      <c r="B4" s="1633"/>
      <c r="C4" s="3645" t="s">
        <v>2189</v>
      </c>
      <c r="D4" s="3646"/>
      <c r="E4" s="3647" t="s">
        <v>2190</v>
      </c>
      <c r="F4" s="3648"/>
      <c r="G4" s="3645" t="s">
        <v>2191</v>
      </c>
      <c r="H4" s="3646"/>
      <c r="I4" s="3645" t="s">
        <v>2192</v>
      </c>
      <c r="J4" s="3646"/>
      <c r="K4" s="1634" t="s">
        <v>2193</v>
      </c>
      <c r="L4" s="2964"/>
      <c r="M4" s="2965"/>
      <c r="N4" s="2965"/>
      <c r="O4" s="2965"/>
      <c r="P4" s="3649" t="s">
        <v>2194</v>
      </c>
      <c r="Q4" s="3650"/>
      <c r="R4" s="3633" t="s">
        <v>2190</v>
      </c>
      <c r="S4" s="3634"/>
      <c r="T4" s="3633" t="s">
        <v>2191</v>
      </c>
      <c r="U4" s="3634"/>
      <c r="V4" s="3655" t="s">
        <v>2192</v>
      </c>
      <c r="W4" s="3655"/>
      <c r="X4" s="1635"/>
      <c r="Y4" s="3633" t="s">
        <v>2194</v>
      </c>
      <c r="Z4" s="3634"/>
      <c r="AA4" s="3642" t="s">
        <v>2190</v>
      </c>
      <c r="AB4" s="3642" t="s">
        <v>2191</v>
      </c>
      <c r="AC4" s="3642" t="s">
        <v>2192</v>
      </c>
    </row>
    <row r="5" spans="1:29">
      <c r="A5" s="1637"/>
      <c r="B5" s="1638"/>
      <c r="C5" s="3658" t="s">
        <v>2195</v>
      </c>
      <c r="D5" s="3659"/>
      <c r="E5" s="3656" t="s">
        <v>2196</v>
      </c>
      <c r="F5" s="3657"/>
      <c r="G5" s="3658" t="s">
        <v>2197</v>
      </c>
      <c r="H5" s="3659"/>
      <c r="I5" s="3658" t="s">
        <v>2198</v>
      </c>
      <c r="J5" s="3659"/>
      <c r="K5" s="1639"/>
      <c r="L5" s="2964"/>
      <c r="M5" s="2965"/>
      <c r="N5" s="2965"/>
      <c r="O5" s="2965"/>
      <c r="P5" s="3651"/>
      <c r="Q5" s="3652"/>
      <c r="R5" s="3635"/>
      <c r="S5" s="3636"/>
      <c r="T5" s="3635"/>
      <c r="U5" s="3636"/>
      <c r="V5" s="3655"/>
      <c r="W5" s="3655"/>
      <c r="X5" s="1635"/>
      <c r="Y5" s="3635"/>
      <c r="Z5" s="3636"/>
      <c r="AA5" s="3643"/>
      <c r="AB5" s="3643"/>
      <c r="AC5" s="3643"/>
    </row>
    <row r="6" spans="1:29" ht="15" thickBot="1">
      <c r="A6" s="1640"/>
      <c r="B6" s="1641"/>
      <c r="C6" s="3660" t="s">
        <v>2199</v>
      </c>
      <c r="D6" s="3661"/>
      <c r="E6" s="3662" t="s">
        <v>2199</v>
      </c>
      <c r="F6" s="3663"/>
      <c r="G6" s="3660" t="s">
        <v>2199</v>
      </c>
      <c r="H6" s="3661"/>
      <c r="I6" s="3660" t="s">
        <v>2199</v>
      </c>
      <c r="J6" s="3661"/>
      <c r="K6" s="1639" t="s">
        <v>2200</v>
      </c>
      <c r="L6" s="2964"/>
      <c r="M6" s="2965"/>
      <c r="N6" s="2965"/>
      <c r="O6" s="2965"/>
      <c r="P6" s="3653"/>
      <c r="Q6" s="3654"/>
      <c r="R6" s="3635"/>
      <c r="S6" s="3636"/>
      <c r="T6" s="3637"/>
      <c r="U6" s="3638"/>
      <c r="V6" s="3655"/>
      <c r="W6" s="3655"/>
      <c r="X6" s="1635"/>
      <c r="Y6" s="3637"/>
      <c r="Z6" s="3638"/>
      <c r="AA6" s="3644"/>
      <c r="AB6" s="3644"/>
      <c r="AC6" s="3644"/>
    </row>
    <row r="7" spans="1:29" s="1654" customFormat="1" ht="1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631" t="s">
        <v>2202</v>
      </c>
      <c r="Q7" s="3639"/>
      <c r="R7" s="1650" t="s">
        <v>34</v>
      </c>
      <c r="S7" s="1651">
        <f t="shared" ref="S7:S15" si="0">F7</f>
        <v>0</v>
      </c>
      <c r="T7" s="1650" t="s">
        <v>34</v>
      </c>
      <c r="U7" s="1651">
        <f t="shared" ref="U7:U15" si="1">H7</f>
        <v>0</v>
      </c>
      <c r="V7" s="1650" t="s">
        <v>34</v>
      </c>
      <c r="W7" s="1651">
        <f t="shared" ref="W7:W15" si="2">J7</f>
        <v>0</v>
      </c>
      <c r="X7" s="1652"/>
      <c r="Y7" s="3631" t="s">
        <v>2202</v>
      </c>
      <c r="Z7" s="3632"/>
      <c r="AA7" s="1653" t="e">
        <f>D7/F7</f>
        <v>#DIV/0!</v>
      </c>
      <c r="AB7" s="1653" t="e">
        <f>D7/H7</f>
        <v>#DIV/0!</v>
      </c>
      <c r="AC7" s="1653" t="e">
        <f>D7/J7</f>
        <v>#DIV/0!</v>
      </c>
    </row>
    <row r="8" spans="1:29" s="1654" customFormat="1" ht="1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631" t="s">
        <v>2205</v>
      </c>
      <c r="Q8" s="3632"/>
      <c r="R8" s="1650" t="s">
        <v>34</v>
      </c>
      <c r="S8" s="1651">
        <f t="shared" si="0"/>
        <v>0</v>
      </c>
      <c r="T8" s="1650" t="s">
        <v>34</v>
      </c>
      <c r="U8" s="1651">
        <f t="shared" si="1"/>
        <v>0</v>
      </c>
      <c r="V8" s="1650" t="s">
        <v>34</v>
      </c>
      <c r="W8" s="1651">
        <f t="shared" si="2"/>
        <v>0</v>
      </c>
      <c r="X8" s="1652"/>
      <c r="Y8" s="3631" t="s">
        <v>2205</v>
      </c>
      <c r="Z8" s="3632"/>
      <c r="AA8" s="1653" t="e">
        <f t="shared" ref="AA8:AA46" si="3">D8/F8</f>
        <v>#DIV/0!</v>
      </c>
      <c r="AB8" s="1653" t="e">
        <f t="shared" ref="AB8:AB46" si="4">D8/H8</f>
        <v>#DIV/0!</v>
      </c>
      <c r="AC8" s="1653" t="e">
        <f t="shared" ref="AC8:AC46" si="5">D8/J8</f>
        <v>#DIV/0!</v>
      </c>
    </row>
    <row r="9" spans="1:29" s="1654" customFormat="1" ht="14.4">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98" t="s">
        <v>2208</v>
      </c>
      <c r="Q9" s="1604"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98"/>
      <c r="Q10" s="1604"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98"/>
      <c r="Q11" s="1604" t="str">
        <f t="shared" si="6"/>
        <v>容积率</v>
      </c>
      <c r="R11" s="1650" t="s">
        <v>28</v>
      </c>
      <c r="S11" s="1651" t="e">
        <f t="shared" si="0"/>
        <v>#N/A</v>
      </c>
      <c r="T11" s="1650" t="s">
        <v>28</v>
      </c>
      <c r="U11" s="1651" t="e">
        <f t="shared" si="1"/>
        <v>#N/A</v>
      </c>
      <c r="V11" s="1650" t="s">
        <v>28</v>
      </c>
      <c r="W11" s="1651" t="e">
        <f t="shared" si="2"/>
        <v>#N/A</v>
      </c>
      <c r="X11" s="1652"/>
      <c r="Y11" s="344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98"/>
      <c r="Q12" s="1604">
        <f t="shared" si="6"/>
        <v>111</v>
      </c>
      <c r="R12" s="1650" t="s">
        <v>28</v>
      </c>
      <c r="S12" s="1651">
        <f t="shared" si="0"/>
        <v>100</v>
      </c>
      <c r="T12" s="1650" t="s">
        <v>28</v>
      </c>
      <c r="U12" s="1651">
        <f t="shared" si="1"/>
        <v>100</v>
      </c>
      <c r="V12" s="1650" t="s">
        <v>28</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98"/>
      <c r="Q13" s="1604">
        <f t="shared" si="6"/>
        <v>111</v>
      </c>
      <c r="R13" s="1650" t="s">
        <v>28</v>
      </c>
      <c r="S13" s="1651">
        <f t="shared" si="0"/>
        <v>100</v>
      </c>
      <c r="T13" s="1650" t="s">
        <v>28</v>
      </c>
      <c r="U13" s="1651">
        <f t="shared" si="1"/>
        <v>100</v>
      </c>
      <c r="V13" s="1650" t="s">
        <v>28</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98"/>
      <c r="Q14" s="1604">
        <f t="shared" si="6"/>
        <v>111</v>
      </c>
      <c r="R14" s="1650" t="s">
        <v>28</v>
      </c>
      <c r="S14" s="1651">
        <f t="shared" si="0"/>
        <v>100</v>
      </c>
      <c r="T14" s="1650" t="s">
        <v>28</v>
      </c>
      <c r="U14" s="1651">
        <f t="shared" si="1"/>
        <v>100</v>
      </c>
      <c r="V14" s="1650" t="s">
        <v>28</v>
      </c>
      <c r="W14" s="1651">
        <f t="shared" si="2"/>
        <v>100</v>
      </c>
      <c r="X14" s="1652"/>
      <c r="Y14" s="3449"/>
      <c r="Z14" s="1663">
        <f t="shared" si="7"/>
        <v>111</v>
      </c>
      <c r="AA14" s="1653">
        <f t="shared" si="3"/>
        <v>1</v>
      </c>
      <c r="AB14" s="1653">
        <f t="shared" si="4"/>
        <v>1</v>
      </c>
      <c r="AC14" s="1653">
        <f t="shared" si="5"/>
        <v>1</v>
      </c>
    </row>
    <row r="15" spans="1:29" ht="96.6">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93" t="s">
        <v>2213</v>
      </c>
      <c r="Q15" s="1585" t="str">
        <f t="shared" si="6"/>
        <v>居住社区成熟度</v>
      </c>
      <c r="R15" s="1695" t="s">
        <v>28</v>
      </c>
      <c r="S15" s="1696">
        <f t="shared" si="0"/>
        <v>100</v>
      </c>
      <c r="T15" s="1695" t="s">
        <v>28</v>
      </c>
      <c r="U15" s="1696">
        <f t="shared" si="1"/>
        <v>100</v>
      </c>
      <c r="V15" s="1695" t="s">
        <v>28</v>
      </c>
      <c r="W15" s="1696">
        <f t="shared" si="2"/>
        <v>100</v>
      </c>
      <c r="X15" s="1635"/>
      <c r="Y15" s="3640"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94"/>
      <c r="Q16" s="1585"/>
      <c r="R16" s="1695"/>
      <c r="S16" s="1696"/>
      <c r="T16" s="1695"/>
      <c r="U16" s="1696"/>
      <c r="V16" s="1695"/>
      <c r="W16" s="1696"/>
      <c r="X16" s="1635"/>
      <c r="Y16" s="3641"/>
      <c r="Z16" s="1697"/>
      <c r="AA16" s="1698">
        <v>1</v>
      </c>
      <c r="AB16" s="1698">
        <v>1</v>
      </c>
      <c r="AC16" s="1698">
        <v>1</v>
      </c>
    </row>
    <row r="17" spans="1:29" ht="82.8">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94"/>
      <c r="Q17" s="1585" t="str">
        <f>B17</f>
        <v>交通便捷度</v>
      </c>
      <c r="R17" s="1695" t="s">
        <v>28</v>
      </c>
      <c r="S17" s="1696">
        <f>F17</f>
        <v>100</v>
      </c>
      <c r="T17" s="1695" t="s">
        <v>28</v>
      </c>
      <c r="U17" s="1696">
        <f>H17</f>
        <v>100</v>
      </c>
      <c r="V17" s="1695" t="s">
        <v>28</v>
      </c>
      <c r="W17" s="1696">
        <f>J17</f>
        <v>100</v>
      </c>
      <c r="X17" s="1635"/>
      <c r="Y17" s="3641"/>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94"/>
      <c r="Q18" s="1585"/>
      <c r="R18" s="1695"/>
      <c r="S18" s="1696"/>
      <c r="T18" s="1695"/>
      <c r="U18" s="1696"/>
      <c r="V18" s="1695"/>
      <c r="W18" s="1696"/>
      <c r="X18" s="1635"/>
      <c r="Y18" s="3641"/>
      <c r="Z18" s="1697"/>
      <c r="AA18" s="1698">
        <v>1</v>
      </c>
      <c r="AB18" s="1698">
        <v>1</v>
      </c>
      <c r="AC18" s="1698">
        <v>1</v>
      </c>
    </row>
    <row r="19" spans="1:29" ht="41.4">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94"/>
      <c r="Q19" s="1585" t="str">
        <f>B19</f>
        <v>公共配套设施</v>
      </c>
      <c r="R19" s="1695" t="s">
        <v>28</v>
      </c>
      <c r="S19" s="1696">
        <f>F19</f>
        <v>100</v>
      </c>
      <c r="T19" s="1695" t="s">
        <v>28</v>
      </c>
      <c r="U19" s="1696">
        <f>H19</f>
        <v>100</v>
      </c>
      <c r="V19" s="1695" t="s">
        <v>28</v>
      </c>
      <c r="W19" s="1696">
        <f>J19</f>
        <v>100</v>
      </c>
      <c r="X19" s="1635"/>
      <c r="Y19" s="3641"/>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94"/>
      <c r="Q20" s="1585"/>
      <c r="R20" s="1695"/>
      <c r="S20" s="1696"/>
      <c r="T20" s="1695"/>
      <c r="U20" s="1696"/>
      <c r="V20" s="1695"/>
      <c r="W20" s="1696"/>
      <c r="X20" s="1635"/>
      <c r="Y20" s="3641"/>
      <c r="Z20" s="1697"/>
      <c r="AA20" s="1698">
        <v>1</v>
      </c>
      <c r="AB20" s="1698">
        <v>1</v>
      </c>
      <c r="AC20" s="1698">
        <v>1</v>
      </c>
    </row>
    <row r="21" spans="1:29" ht="27.6">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94"/>
      <c r="Q21" s="1585" t="str">
        <f>B21</f>
        <v>基础设施水平</v>
      </c>
      <c r="R21" s="1695" t="s">
        <v>28</v>
      </c>
      <c r="S21" s="1696">
        <f>F21</f>
        <v>100</v>
      </c>
      <c r="T21" s="1695" t="s">
        <v>28</v>
      </c>
      <c r="U21" s="1696">
        <f>H21</f>
        <v>100</v>
      </c>
      <c r="V21" s="1695" t="s">
        <v>28</v>
      </c>
      <c r="W21" s="1696">
        <f>J21</f>
        <v>100</v>
      </c>
      <c r="X21" s="1635"/>
      <c r="Y21" s="3641"/>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94"/>
      <c r="Q22" s="1585"/>
      <c r="R22" s="1695"/>
      <c r="S22" s="1696"/>
      <c r="T22" s="1695"/>
      <c r="U22" s="1696"/>
      <c r="V22" s="1695"/>
      <c r="W22" s="1696"/>
      <c r="X22" s="1635"/>
      <c r="Y22" s="3641"/>
      <c r="Z22" s="1697"/>
      <c r="AA22" s="1698">
        <v>1</v>
      </c>
      <c r="AB22" s="1698">
        <v>1</v>
      </c>
      <c r="AC22" s="1698">
        <v>1</v>
      </c>
    </row>
    <row r="23" spans="1:29" ht="55.2">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94"/>
      <c r="Q23" s="1585" t="str">
        <f>B23</f>
        <v>自然及人文环境</v>
      </c>
      <c r="R23" s="1695" t="s">
        <v>28</v>
      </c>
      <c r="S23" s="1696">
        <f>F23</f>
        <v>100</v>
      </c>
      <c r="T23" s="1695" t="s">
        <v>28</v>
      </c>
      <c r="U23" s="1696">
        <f>H23</f>
        <v>100</v>
      </c>
      <c r="V23" s="1695" t="s">
        <v>28</v>
      </c>
      <c r="W23" s="1696">
        <f>J23</f>
        <v>100</v>
      </c>
      <c r="X23" s="1635"/>
      <c r="Y23" s="3641"/>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94"/>
      <c r="Q24" s="1585"/>
      <c r="R24" s="1695"/>
      <c r="S24" s="1696"/>
      <c r="T24" s="1695"/>
      <c r="U24" s="1696"/>
      <c r="V24" s="1695"/>
      <c r="W24" s="1696"/>
      <c r="X24" s="1635"/>
      <c r="Y24" s="3641"/>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94"/>
      <c r="Q25" s="1585" t="str">
        <f t="shared" ref="Q25:Q46" si="11">B25</f>
        <v>楼层-1</v>
      </c>
      <c r="R25" s="1695" t="s">
        <v>28</v>
      </c>
      <c r="S25" s="1696">
        <f>F25</f>
        <v>100</v>
      </c>
      <c r="T25" s="1695" t="s">
        <v>28</v>
      </c>
      <c r="U25" s="1696">
        <f>H25</f>
        <v>100</v>
      </c>
      <c r="V25" s="1695" t="s">
        <v>28</v>
      </c>
      <c r="W25" s="1696">
        <f>J25</f>
        <v>100</v>
      </c>
      <c r="X25" s="1635"/>
      <c r="Y25" s="3641"/>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94"/>
      <c r="Q26" s="1585" t="str">
        <f t="shared" si="11"/>
        <v>朝向</v>
      </c>
      <c r="R26" s="1695" t="s">
        <v>28</v>
      </c>
      <c r="S26" s="1696">
        <f>F26</f>
        <v>100</v>
      </c>
      <c r="T26" s="1695" t="s">
        <v>28</v>
      </c>
      <c r="U26" s="1696">
        <f>H26</f>
        <v>100</v>
      </c>
      <c r="V26" s="1695" t="s">
        <v>28</v>
      </c>
      <c r="W26" s="1696">
        <f>J26</f>
        <v>100</v>
      </c>
      <c r="X26" s="1635"/>
      <c r="Y26" s="3641"/>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94"/>
      <c r="Q27" s="1604" t="str">
        <f t="shared" si="11"/>
        <v>道路级别</v>
      </c>
      <c r="R27" s="1650" t="s">
        <v>28</v>
      </c>
      <c r="S27" s="1651">
        <f>F27</f>
        <v>100</v>
      </c>
      <c r="T27" s="1650" t="s">
        <v>28</v>
      </c>
      <c r="U27" s="1651">
        <f>H27</f>
        <v>100</v>
      </c>
      <c r="V27" s="1650" t="s">
        <v>28</v>
      </c>
      <c r="W27" s="1651">
        <f>J27</f>
        <v>100</v>
      </c>
      <c r="X27" s="1652"/>
      <c r="Y27" s="3641"/>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94"/>
      <c r="Q28" s="1585">
        <f t="shared" si="11"/>
        <v>111</v>
      </c>
      <c r="R28" s="1695" t="s">
        <v>28</v>
      </c>
      <c r="S28" s="1696">
        <f t="shared" ref="S28:S46" si="12">F28</f>
        <v>100</v>
      </c>
      <c r="T28" s="1695" t="s">
        <v>28</v>
      </c>
      <c r="U28" s="1696">
        <f t="shared" ref="U28:U46" si="13">H28</f>
        <v>100</v>
      </c>
      <c r="V28" s="1695" t="s">
        <v>28</v>
      </c>
      <c r="W28" s="1696">
        <f t="shared" ref="W28:W46" si="14">J28</f>
        <v>100</v>
      </c>
      <c r="X28" s="1635"/>
      <c r="Y28" s="3641"/>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94"/>
      <c r="Q29" s="1585">
        <f t="shared" si="11"/>
        <v>111</v>
      </c>
      <c r="R29" s="1695" t="s">
        <v>28</v>
      </c>
      <c r="S29" s="1696">
        <f t="shared" si="12"/>
        <v>100</v>
      </c>
      <c r="T29" s="1695" t="s">
        <v>28</v>
      </c>
      <c r="U29" s="1696">
        <f t="shared" si="13"/>
        <v>100</v>
      </c>
      <c r="V29" s="1695" t="s">
        <v>28</v>
      </c>
      <c r="W29" s="1696">
        <f t="shared" si="14"/>
        <v>100</v>
      </c>
      <c r="X29" s="1635"/>
      <c r="Y29" s="3641"/>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94"/>
      <c r="Q30" s="1585">
        <f t="shared" si="11"/>
        <v>111</v>
      </c>
      <c r="R30" s="1695" t="s">
        <v>28</v>
      </c>
      <c r="S30" s="1696">
        <f t="shared" si="12"/>
        <v>100</v>
      </c>
      <c r="T30" s="1695" t="s">
        <v>28</v>
      </c>
      <c r="U30" s="1696">
        <f t="shared" si="13"/>
        <v>100</v>
      </c>
      <c r="V30" s="1695" t="s">
        <v>28</v>
      </c>
      <c r="W30" s="1696">
        <f t="shared" si="14"/>
        <v>100</v>
      </c>
      <c r="X30" s="1635"/>
      <c r="Y30" s="3641"/>
      <c r="Z30" s="1697">
        <f t="shared" si="15"/>
        <v>111</v>
      </c>
      <c r="AA30" s="1698">
        <f t="shared" si="3"/>
        <v>1</v>
      </c>
      <c r="AB30" s="1698">
        <f t="shared" si="4"/>
        <v>1</v>
      </c>
      <c r="AC30" s="1698">
        <f t="shared" si="5"/>
        <v>1</v>
      </c>
    </row>
    <row r="31" spans="1:29" ht="15.6"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94"/>
      <c r="Q31" s="1585">
        <f t="shared" si="11"/>
        <v>111</v>
      </c>
      <c r="R31" s="1695" t="s">
        <v>28</v>
      </c>
      <c r="S31" s="1696">
        <f t="shared" si="12"/>
        <v>100</v>
      </c>
      <c r="T31" s="1695" t="s">
        <v>28</v>
      </c>
      <c r="U31" s="1696">
        <f t="shared" si="13"/>
        <v>100</v>
      </c>
      <c r="V31" s="1695" t="s">
        <v>28</v>
      </c>
      <c r="W31" s="1696">
        <f t="shared" si="14"/>
        <v>100</v>
      </c>
      <c r="X31" s="1635"/>
      <c r="Y31" s="3641"/>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95" t="s">
        <v>2219</v>
      </c>
      <c r="Q32" s="1585" t="str">
        <f t="shared" si="11"/>
        <v>建筑类型</v>
      </c>
      <c r="R32" s="1695" t="s">
        <v>28</v>
      </c>
      <c r="S32" s="1696">
        <f t="shared" si="12"/>
        <v>100</v>
      </c>
      <c r="T32" s="1695" t="s">
        <v>28</v>
      </c>
      <c r="U32" s="1696">
        <f t="shared" si="13"/>
        <v>100</v>
      </c>
      <c r="V32" s="1695" t="s">
        <v>28</v>
      </c>
      <c r="W32" s="1696">
        <f t="shared" si="14"/>
        <v>100</v>
      </c>
      <c r="X32" s="1635"/>
      <c r="Y32" s="3629"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696"/>
      <c r="Q33" s="1736" t="str">
        <f t="shared" si="11"/>
        <v>项目建筑规模</v>
      </c>
      <c r="R33" s="1737" t="s">
        <v>28</v>
      </c>
      <c r="S33" s="1738" t="e">
        <f t="shared" si="12"/>
        <v>#N/A</v>
      </c>
      <c r="T33" s="1737" t="s">
        <v>28</v>
      </c>
      <c r="U33" s="1738" t="e">
        <f t="shared" si="13"/>
        <v>#N/A</v>
      </c>
      <c r="V33" s="1737" t="s">
        <v>28</v>
      </c>
      <c r="W33" s="1738" t="e">
        <f t="shared" si="14"/>
        <v>#N/A</v>
      </c>
      <c r="X33" s="1739"/>
      <c r="Y33" s="3629"/>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96"/>
      <c r="Q34" s="1585" t="str">
        <f t="shared" si="11"/>
        <v>建筑结构</v>
      </c>
      <c r="R34" s="1695" t="s">
        <v>28</v>
      </c>
      <c r="S34" s="1696">
        <f t="shared" si="12"/>
        <v>100</v>
      </c>
      <c r="T34" s="1695" t="s">
        <v>28</v>
      </c>
      <c r="U34" s="1696">
        <f t="shared" si="13"/>
        <v>100</v>
      </c>
      <c r="V34" s="1695" t="s">
        <v>28</v>
      </c>
      <c r="W34" s="1696">
        <f t="shared" si="14"/>
        <v>100</v>
      </c>
      <c r="X34" s="1635"/>
      <c r="Y34" s="3629"/>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96"/>
      <c r="Q35" s="1585" t="str">
        <f t="shared" si="11"/>
        <v>建筑品质</v>
      </c>
      <c r="R35" s="1695" t="s">
        <v>28</v>
      </c>
      <c r="S35" s="1696">
        <f t="shared" si="12"/>
        <v>100</v>
      </c>
      <c r="T35" s="1695" t="s">
        <v>28</v>
      </c>
      <c r="U35" s="1696">
        <f t="shared" si="13"/>
        <v>100</v>
      </c>
      <c r="V35" s="1695" t="s">
        <v>28</v>
      </c>
      <c r="W35" s="1696">
        <f t="shared" si="14"/>
        <v>100</v>
      </c>
      <c r="X35" s="1635"/>
      <c r="Y35" s="3629"/>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96"/>
      <c r="Q36" s="1585" t="str">
        <f t="shared" si="11"/>
        <v>公共部分装修</v>
      </c>
      <c r="R36" s="1695" t="s">
        <v>28</v>
      </c>
      <c r="S36" s="1696">
        <f t="shared" si="12"/>
        <v>100</v>
      </c>
      <c r="T36" s="1695" t="s">
        <v>28</v>
      </c>
      <c r="U36" s="1696">
        <f t="shared" si="13"/>
        <v>100</v>
      </c>
      <c r="V36" s="1695" t="s">
        <v>28</v>
      </c>
      <c r="W36" s="1696">
        <f t="shared" si="14"/>
        <v>100</v>
      </c>
      <c r="X36" s="1635"/>
      <c r="Y36" s="3629"/>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696"/>
      <c r="Q37" s="1604" t="str">
        <f t="shared" si="11"/>
        <v>成新度</v>
      </c>
      <c r="R37" s="1650" t="s">
        <v>28</v>
      </c>
      <c r="S37" s="1651" t="e">
        <f t="shared" si="12"/>
        <v>#N/A</v>
      </c>
      <c r="T37" s="1650" t="s">
        <v>28</v>
      </c>
      <c r="U37" s="1651" t="e">
        <f t="shared" si="13"/>
        <v>#N/A</v>
      </c>
      <c r="V37" s="1650" t="s">
        <v>28</v>
      </c>
      <c r="W37" s="1651" t="e">
        <f t="shared" si="14"/>
        <v>#N/A</v>
      </c>
      <c r="X37" s="1652"/>
      <c r="Y37" s="3629"/>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96" t="s">
        <v>2219</v>
      </c>
      <c r="Q38" s="1585" t="str">
        <f t="shared" si="11"/>
        <v>物业管理</v>
      </c>
      <c r="R38" s="1695" t="s">
        <v>28</v>
      </c>
      <c r="S38" s="1696">
        <f t="shared" si="12"/>
        <v>100</v>
      </c>
      <c r="T38" s="1695" t="s">
        <v>28</v>
      </c>
      <c r="U38" s="1696">
        <f t="shared" si="13"/>
        <v>100</v>
      </c>
      <c r="V38" s="1695" t="s">
        <v>28</v>
      </c>
      <c r="W38" s="1696">
        <f t="shared" si="14"/>
        <v>100</v>
      </c>
      <c r="X38" s="1635"/>
      <c r="Y38" s="3629"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96"/>
      <c r="Q39" s="1585" t="str">
        <f t="shared" si="11"/>
        <v>市政基础设施</v>
      </c>
      <c r="R39" s="1695" t="s">
        <v>28</v>
      </c>
      <c r="S39" s="1696">
        <f t="shared" si="12"/>
        <v>100</v>
      </c>
      <c r="T39" s="1695" t="s">
        <v>28</v>
      </c>
      <c r="U39" s="1696">
        <f t="shared" si="13"/>
        <v>100</v>
      </c>
      <c r="V39" s="1695" t="s">
        <v>28</v>
      </c>
      <c r="W39" s="1696">
        <f t="shared" si="14"/>
        <v>100</v>
      </c>
      <c r="X39" s="1635"/>
      <c r="Y39" s="3629"/>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96"/>
      <c r="Q40" s="1585" t="str">
        <f t="shared" si="11"/>
        <v>房型</v>
      </c>
      <c r="R40" s="1695" t="s">
        <v>28</v>
      </c>
      <c r="S40" s="1696">
        <f t="shared" si="12"/>
        <v>100</v>
      </c>
      <c r="T40" s="1695" t="s">
        <v>28</v>
      </c>
      <c r="U40" s="1696">
        <f t="shared" si="13"/>
        <v>100</v>
      </c>
      <c r="V40" s="1695" t="s">
        <v>28</v>
      </c>
      <c r="W40" s="1696">
        <f t="shared" si="14"/>
        <v>100</v>
      </c>
      <c r="X40" s="1635"/>
      <c r="Y40" s="3629"/>
      <c r="Z40" s="1697" t="str">
        <f t="shared" si="15"/>
        <v>房型</v>
      </c>
      <c r="AA40" s="1698">
        <f t="shared" si="3"/>
        <v>1</v>
      </c>
      <c r="AB40" s="1698">
        <f t="shared" si="4"/>
        <v>1</v>
      </c>
      <c r="AC40" s="1698">
        <f t="shared" si="5"/>
        <v>1</v>
      </c>
    </row>
    <row r="41" spans="1:29" s="1741" customFormat="1" ht="28.8">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696"/>
      <c r="Q41" s="1736" t="str">
        <f t="shared" si="11"/>
        <v>单套/主力户型建筑面积</v>
      </c>
      <c r="R41" s="1737" t="s">
        <v>28</v>
      </c>
      <c r="S41" s="1738">
        <f t="shared" si="12"/>
        <v>100</v>
      </c>
      <c r="T41" s="1737" t="s">
        <v>28</v>
      </c>
      <c r="U41" s="1738">
        <f t="shared" si="13"/>
        <v>100</v>
      </c>
      <c r="V41" s="1737" t="s">
        <v>28</v>
      </c>
      <c r="W41" s="1738">
        <f t="shared" si="14"/>
        <v>100</v>
      </c>
      <c r="X41" s="1739"/>
      <c r="Y41" s="3629"/>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96"/>
      <c r="Q42" s="1585" t="str">
        <f t="shared" si="11"/>
        <v>内部装修</v>
      </c>
      <c r="R42" s="1695" t="s">
        <v>28</v>
      </c>
      <c r="S42" s="1696">
        <f t="shared" si="12"/>
        <v>100</v>
      </c>
      <c r="T42" s="1695" t="s">
        <v>28</v>
      </c>
      <c r="U42" s="1696">
        <f t="shared" si="13"/>
        <v>100</v>
      </c>
      <c r="V42" s="1695" t="s">
        <v>28</v>
      </c>
      <c r="W42" s="1696">
        <f t="shared" si="14"/>
        <v>100</v>
      </c>
      <c r="X42" s="1635"/>
      <c r="Y42" s="3629"/>
      <c r="Z42" s="1697" t="str">
        <f t="shared" si="15"/>
        <v>内部装修</v>
      </c>
      <c r="AA42" s="1698">
        <f t="shared" si="3"/>
        <v>1</v>
      </c>
      <c r="AB42" s="1698">
        <f t="shared" si="4"/>
        <v>1</v>
      </c>
      <c r="AC42" s="1698">
        <f t="shared" si="5"/>
        <v>1</v>
      </c>
    </row>
    <row r="43" spans="1:29" ht="28.8">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96"/>
      <c r="Q43" s="1585" t="str">
        <f t="shared" si="11"/>
        <v>内部装修维护情况</v>
      </c>
      <c r="R43" s="1695" t="s">
        <v>28</v>
      </c>
      <c r="S43" s="1696">
        <f t="shared" si="12"/>
        <v>100</v>
      </c>
      <c r="T43" s="1695" t="s">
        <v>28</v>
      </c>
      <c r="U43" s="1696">
        <f t="shared" si="13"/>
        <v>100</v>
      </c>
      <c r="V43" s="1695" t="s">
        <v>28</v>
      </c>
      <c r="W43" s="1696">
        <f t="shared" si="14"/>
        <v>100</v>
      </c>
      <c r="X43" s="1635"/>
      <c r="Y43" s="3629"/>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96"/>
      <c r="Q44" s="1604">
        <f t="shared" si="11"/>
        <v>111</v>
      </c>
      <c r="R44" s="1650" t="s">
        <v>28</v>
      </c>
      <c r="S44" s="1651">
        <f t="shared" si="12"/>
        <v>100</v>
      </c>
      <c r="T44" s="1650" t="s">
        <v>28</v>
      </c>
      <c r="U44" s="1651">
        <f t="shared" si="13"/>
        <v>100</v>
      </c>
      <c r="V44" s="1650" t="s">
        <v>28</v>
      </c>
      <c r="W44" s="1651">
        <f t="shared" si="14"/>
        <v>100</v>
      </c>
      <c r="X44" s="1652"/>
      <c r="Y44" s="362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96"/>
      <c r="Q45" s="1585">
        <f t="shared" si="11"/>
        <v>111</v>
      </c>
      <c r="R45" s="1695" t="s">
        <v>28</v>
      </c>
      <c r="S45" s="1696">
        <f t="shared" si="12"/>
        <v>100</v>
      </c>
      <c r="T45" s="1695" t="s">
        <v>28</v>
      </c>
      <c r="U45" s="1696">
        <f t="shared" si="13"/>
        <v>100</v>
      </c>
      <c r="V45" s="1695" t="s">
        <v>28</v>
      </c>
      <c r="W45" s="1696">
        <f t="shared" si="14"/>
        <v>100</v>
      </c>
      <c r="X45" s="1635"/>
      <c r="Y45" s="3629"/>
      <c r="Z45" s="1697">
        <f t="shared" si="15"/>
        <v>111</v>
      </c>
      <c r="AA45" s="1698">
        <f t="shared" si="3"/>
        <v>1</v>
      </c>
      <c r="AB45" s="1698">
        <f t="shared" si="4"/>
        <v>1</v>
      </c>
      <c r="AC45" s="1698">
        <f t="shared" si="5"/>
        <v>1</v>
      </c>
    </row>
    <row r="46" spans="1:29" ht="15.6"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97"/>
      <c r="Q46" s="1585">
        <f t="shared" si="11"/>
        <v>111</v>
      </c>
      <c r="R46" s="1695" t="s">
        <v>27</v>
      </c>
      <c r="S46" s="1696">
        <f t="shared" si="12"/>
        <v>100</v>
      </c>
      <c r="T46" s="1695" t="s">
        <v>27</v>
      </c>
      <c r="U46" s="1696">
        <f t="shared" si="13"/>
        <v>100</v>
      </c>
      <c r="V46" s="1695" t="s">
        <v>27</v>
      </c>
      <c r="W46" s="1696">
        <f t="shared" si="14"/>
        <v>100</v>
      </c>
      <c r="X46" s="1635"/>
      <c r="Y46" s="3630"/>
      <c r="Z46" s="1697">
        <f t="shared" si="15"/>
        <v>111</v>
      </c>
      <c r="AA46" s="1698">
        <f t="shared" si="3"/>
        <v>1</v>
      </c>
      <c r="AB46" s="1698">
        <f t="shared" si="4"/>
        <v>1</v>
      </c>
      <c r="AC46" s="1698">
        <f t="shared" si="5"/>
        <v>1</v>
      </c>
    </row>
    <row r="47" spans="1:29" ht="14.4">
      <c r="A47" s="1751" t="s">
        <v>2231</v>
      </c>
      <c r="B47" s="1752"/>
      <c r="C47" s="1753" t="s">
        <v>26</v>
      </c>
      <c r="D47" s="1754"/>
      <c r="E47" s="1755"/>
      <c r="F47" s="1756"/>
      <c r="G47" s="1757"/>
      <c r="H47" s="1758"/>
      <c r="I47" s="1755"/>
      <c r="J47" s="1758"/>
      <c r="K47" s="1759"/>
      <c r="L47" s="2970"/>
      <c r="N47" s="2965"/>
      <c r="P47" s="3623" t="str">
        <f>A47</f>
        <v>成交单价（元/平方米）</v>
      </c>
      <c r="Q47" s="3623"/>
      <c r="R47" s="3624">
        <f>E47</f>
        <v>0</v>
      </c>
      <c r="S47" s="3624"/>
      <c r="T47" s="3624">
        <f>G47</f>
        <v>0</v>
      </c>
      <c r="U47" s="3624"/>
      <c r="V47" s="3624">
        <f>I47</f>
        <v>0</v>
      </c>
      <c r="W47" s="3624"/>
      <c r="X47" s="1761"/>
      <c r="Y47" s="1762"/>
      <c r="Z47" s="1761"/>
      <c r="AA47" s="1761"/>
      <c r="AB47" s="1761"/>
      <c r="AC47" s="1761"/>
    </row>
    <row r="48" spans="1:29" ht="15" thickBot="1">
      <c r="A48" s="1763" t="s">
        <v>2232</v>
      </c>
      <c r="B48" s="1764"/>
      <c r="C48" s="1765" t="e">
        <f>R49</f>
        <v>#DIV/0!</v>
      </c>
      <c r="D48" s="1766" t="s">
        <v>2687</v>
      </c>
      <c r="E48" s="1767" t="e">
        <f>R48</f>
        <v>#DIV/0!</v>
      </c>
      <c r="F48" s="1768"/>
      <c r="G48" s="1765" t="e">
        <f>T48</f>
        <v>#DIV/0!</v>
      </c>
      <c r="H48" s="1768"/>
      <c r="I48" s="1767" t="e">
        <f>V48</f>
        <v>#DIV/0!</v>
      </c>
      <c r="J48" s="1768"/>
      <c r="K48" s="2481">
        <f>F48+H48+J48</f>
        <v>0</v>
      </c>
      <c r="L48" s="2970"/>
      <c r="P48" s="3623" t="str">
        <f>A48</f>
        <v>比较价值（元/平方米）</v>
      </c>
      <c r="Q48" s="3623"/>
      <c r="R48" s="3624" t="e">
        <f>IF(E1="售价",ROUND(PRODUCT(R47,AA7:AA46),0),ROUND(PRODUCT(R47,AA7:AA46),1))</f>
        <v>#DIV/0!</v>
      </c>
      <c r="S48" s="3624"/>
      <c r="T48" s="3691" t="e">
        <f>IF(E1="售价",ROUND(PRODUCT(T47,AB7:AB46),0),ROUND(PRODUCT(T47,AB7:AB46),1))</f>
        <v>#DIV/0!</v>
      </c>
      <c r="U48" s="3692"/>
      <c r="V48" s="3624" t="e">
        <f>IF(E1="售价",ROUND(PRODUCT(V47,AC7:AC46),0),ROUND(PRODUCT(V47,AC7:AC46),1))</f>
        <v>#DIV/0!</v>
      </c>
      <c r="W48" s="3624"/>
      <c r="X48" s="1761"/>
      <c r="Y48" s="1761"/>
      <c r="Z48" s="1761"/>
      <c r="AA48" s="1761"/>
      <c r="AB48" s="1761"/>
      <c r="AC48" s="1761"/>
    </row>
    <row r="49" spans="1:29" ht="15" thickBot="1">
      <c r="A49" s="1769" t="s">
        <v>2233</v>
      </c>
      <c r="B49" s="1770"/>
      <c r="C49" s="1771" t="e">
        <f>R49</f>
        <v>#DIV/0!</v>
      </c>
      <c r="D49" s="1772"/>
      <c r="E49" s="1772"/>
      <c r="F49" s="1772"/>
      <c r="G49" s="1772"/>
      <c r="H49" s="1772"/>
      <c r="I49" s="1772"/>
      <c r="J49" s="1772"/>
      <c r="K49" s="1773"/>
      <c r="L49" s="2970"/>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4"/>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2.2" thickBot="1">
      <c r="A57" s="1786" t="s">
        <v>2237</v>
      </c>
      <c r="B57" s="1761"/>
      <c r="C57" s="1787"/>
      <c r="D57" s="1787"/>
      <c r="E57" s="1787"/>
      <c r="F57" s="1787"/>
      <c r="G57" s="1787"/>
      <c r="H57" s="1787"/>
      <c r="I57" s="1787"/>
      <c r="J57" s="1787"/>
      <c r="K57" s="1788"/>
      <c r="L57" s="2972"/>
      <c r="M57" s="2973"/>
      <c r="N57" s="2973"/>
      <c r="O57" s="2973"/>
      <c r="P57" s="1790"/>
      <c r="Q57" s="1791"/>
    </row>
    <row r="58" spans="1:29" s="1797" customFormat="1" ht="14.4">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4.4">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4.4" thickBot="1">
      <c r="A62" s="1809"/>
      <c r="B62" s="1799"/>
      <c r="C62" s="1814">
        <v>100</v>
      </c>
      <c r="D62" s="1801"/>
      <c r="E62" s="1801"/>
      <c r="F62" s="1801"/>
      <c r="G62" s="1801"/>
      <c r="H62" s="1801"/>
      <c r="I62" s="1801"/>
      <c r="J62" s="1801"/>
      <c r="K62" s="1801"/>
      <c r="L62" s="1801"/>
      <c r="M62" s="1815"/>
      <c r="N62" s="1812"/>
      <c r="O62" s="1812"/>
      <c r="P62" s="1803"/>
      <c r="Q62" s="1791"/>
    </row>
    <row r="63" spans="1:29" ht="14.4">
      <c r="A63" s="1816" t="s">
        <v>2242</v>
      </c>
      <c r="B63" s="1817" t="s">
        <v>2207</v>
      </c>
      <c r="C63" s="1818">
        <f>C9</f>
        <v>0</v>
      </c>
      <c r="D63" s="1819"/>
      <c r="E63" s="1819"/>
      <c r="F63" s="1819"/>
      <c r="G63" s="1819"/>
      <c r="H63" s="1819"/>
      <c r="I63" s="1819"/>
      <c r="J63" s="1819"/>
      <c r="K63" s="417"/>
      <c r="L63" s="417"/>
      <c r="M63" s="1820"/>
      <c r="N63" s="1821"/>
      <c r="O63" s="1821"/>
      <c r="P63" s="1822"/>
      <c r="Q63" s="1791"/>
    </row>
    <row r="64" spans="1:29" ht="14.4" thickBot="1">
      <c r="A64" s="1823"/>
      <c r="B64" s="1824"/>
      <c r="C64" s="1825">
        <v>100</v>
      </c>
      <c r="D64" s="1825"/>
      <c r="E64" s="1825"/>
      <c r="F64" s="1825"/>
      <c r="G64" s="1825"/>
      <c r="H64" s="1825"/>
      <c r="I64" s="1825"/>
      <c r="J64" s="1825"/>
      <c r="K64" s="1825"/>
      <c r="L64" s="1825"/>
      <c r="M64" s="1826"/>
      <c r="N64" s="1827"/>
      <c r="O64" s="1827"/>
      <c r="P64" s="1822"/>
      <c r="Q64" s="1791"/>
    </row>
    <row r="65" spans="1:17" ht="29.4"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4.4"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c r="A68" s="1823"/>
      <c r="B68" s="1836"/>
      <c r="C68" s="1837"/>
      <c r="D68" s="1837"/>
      <c r="E68" s="1837"/>
      <c r="F68" s="1837"/>
      <c r="G68" s="1837"/>
      <c r="H68" s="1837"/>
      <c r="I68" s="1837"/>
      <c r="J68" s="1837"/>
      <c r="K68" s="438"/>
      <c r="L68" s="438"/>
      <c r="M68" s="1838"/>
      <c r="N68" s="1821"/>
      <c r="O68" s="1821"/>
      <c r="P68" s="1822"/>
      <c r="Q68" s="1791"/>
    </row>
    <row r="69" spans="1:17" ht="14.4"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4.4"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4.4" thickBot="1">
      <c r="A71" s="1839"/>
      <c r="B71" s="1831"/>
      <c r="C71" s="1844"/>
      <c r="D71" s="1825"/>
      <c r="E71" s="1825"/>
      <c r="F71" s="1825"/>
      <c r="G71" s="1825"/>
      <c r="H71" s="1825"/>
      <c r="I71" s="1825"/>
      <c r="J71" s="1825"/>
      <c r="K71" s="1825"/>
      <c r="L71" s="1825"/>
      <c r="M71" s="1826"/>
      <c r="N71" s="1827"/>
      <c r="O71" s="1827"/>
      <c r="P71" s="1842"/>
      <c r="Q71" s="1843"/>
    </row>
    <row r="72" spans="1:17" s="1741" customFormat="1" ht="14.4"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4.4" thickBot="1">
      <c r="A73" s="1839"/>
      <c r="B73" s="1831"/>
      <c r="C73" s="1844"/>
      <c r="D73" s="1844"/>
      <c r="E73" s="1844"/>
      <c r="F73" s="1844"/>
      <c r="G73" s="1844"/>
      <c r="H73" s="1847"/>
      <c r="I73" s="1847"/>
      <c r="J73" s="1847"/>
      <c r="K73" s="1847"/>
      <c r="L73" s="1847"/>
      <c r="M73" s="1848"/>
      <c r="N73" s="1841"/>
      <c r="O73" s="1841"/>
      <c r="P73" s="1842"/>
      <c r="Q73" s="1843"/>
    </row>
    <row r="74" spans="1:17" s="1741" customFormat="1" ht="14.4"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4.4" thickBot="1">
      <c r="A75" s="1850"/>
      <c r="B75" s="1851"/>
      <c r="C75" s="1852"/>
      <c r="D75" s="1852"/>
      <c r="E75" s="1852"/>
      <c r="F75" s="1852"/>
      <c r="G75" s="1852"/>
      <c r="H75" s="1853"/>
      <c r="I75" s="1853"/>
      <c r="J75" s="1853"/>
      <c r="K75" s="1853"/>
      <c r="L75" s="1853"/>
      <c r="M75" s="1854"/>
      <c r="N75" s="1841"/>
      <c r="O75" s="1841"/>
      <c r="P75" s="1842"/>
      <c r="Q75" s="1843"/>
    </row>
    <row r="76" spans="1:17" ht="14.4">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 thickTop="1">
      <c r="A86" s="1859"/>
      <c r="B86" s="1828" t="s">
        <v>2264</v>
      </c>
      <c r="C86" s="468"/>
      <c r="D86" s="468"/>
      <c r="E86" s="468"/>
      <c r="F86" s="468"/>
      <c r="G86" s="468"/>
      <c r="H86" s="468"/>
      <c r="I86" s="468"/>
      <c r="J86" s="468"/>
      <c r="K86" s="468"/>
      <c r="L86" s="468"/>
      <c r="M86" s="1860"/>
      <c r="N86" s="1812"/>
      <c r="O86" s="1812"/>
      <c r="P86" s="1822"/>
      <c r="Q86" s="1791"/>
    </row>
    <row r="87" spans="1:17" s="1654" customFormat="1" ht="14.4"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4.4"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4.4"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4.4" thickBot="1">
      <c r="A91" s="1839"/>
      <c r="B91" s="1831"/>
      <c r="C91" s="1844"/>
      <c r="D91" s="1844"/>
      <c r="E91" s="1844"/>
      <c r="F91" s="1844"/>
      <c r="G91" s="1844"/>
      <c r="H91" s="1847"/>
      <c r="I91" s="1847"/>
      <c r="J91" s="1847"/>
      <c r="K91" s="1847"/>
      <c r="L91" s="1847"/>
      <c r="M91" s="1848"/>
      <c r="N91" s="1841"/>
      <c r="O91" s="1841"/>
      <c r="P91" s="1842"/>
      <c r="Q91" s="1843"/>
    </row>
    <row r="92" spans="1:17" ht="14.4" thickTop="1">
      <c r="A92" s="1823"/>
      <c r="B92" s="1828">
        <f>B28</f>
        <v>111</v>
      </c>
      <c r="C92" s="468"/>
      <c r="D92" s="468"/>
      <c r="E92" s="468"/>
      <c r="F92" s="468"/>
      <c r="G92" s="1547"/>
      <c r="H92" s="1547"/>
      <c r="I92" s="1547"/>
      <c r="J92" s="1547"/>
      <c r="K92" s="473"/>
      <c r="L92" s="473"/>
      <c r="M92" s="1863"/>
      <c r="N92" s="1821"/>
      <c r="O92" s="1821"/>
      <c r="P92" s="1822"/>
      <c r="Q92" s="1791"/>
    </row>
    <row r="93" spans="1:17" ht="14.4" thickBot="1">
      <c r="A93" s="1823"/>
      <c r="B93" s="1831"/>
      <c r="C93" s="1844"/>
      <c r="D93" s="1825"/>
      <c r="E93" s="1825"/>
      <c r="F93" s="1825"/>
      <c r="G93" s="1825"/>
      <c r="H93" s="1825"/>
      <c r="I93" s="1825"/>
      <c r="J93" s="1825"/>
      <c r="K93" s="1825"/>
      <c r="L93" s="1825"/>
      <c r="M93" s="1826"/>
      <c r="N93" s="1827"/>
      <c r="O93" s="1827"/>
      <c r="P93" s="1822"/>
      <c r="Q93" s="1791"/>
    </row>
    <row r="94" spans="1:17" ht="14.4" thickTop="1">
      <c r="A94" s="1823"/>
      <c r="B94" s="1828">
        <f>B29</f>
        <v>111</v>
      </c>
      <c r="C94" s="468"/>
      <c r="D94" s="468"/>
      <c r="E94" s="468"/>
      <c r="F94" s="468"/>
      <c r="G94" s="1547"/>
      <c r="H94" s="1547"/>
      <c r="I94" s="1547"/>
      <c r="J94" s="1547"/>
      <c r="K94" s="473"/>
      <c r="L94" s="473"/>
      <c r="M94" s="1863"/>
      <c r="N94" s="1821"/>
      <c r="O94" s="1821"/>
      <c r="P94" s="1822"/>
      <c r="Q94" s="1791"/>
    </row>
    <row r="95" spans="1:17" ht="14.4" thickBot="1">
      <c r="A95" s="1823"/>
      <c r="B95" s="1831"/>
      <c r="C95" s="1844"/>
      <c r="D95" s="1844"/>
      <c r="E95" s="1844"/>
      <c r="F95" s="1844"/>
      <c r="G95" s="1825"/>
      <c r="H95" s="1825"/>
      <c r="I95" s="1825"/>
      <c r="J95" s="1825"/>
      <c r="K95" s="1825"/>
      <c r="L95" s="1825"/>
      <c r="M95" s="1826"/>
      <c r="N95" s="1827"/>
      <c r="O95" s="1827"/>
      <c r="P95" s="1822"/>
      <c r="Q95" s="1791"/>
    </row>
    <row r="96" spans="1:17" ht="14.4" thickTop="1">
      <c r="A96" s="1823"/>
      <c r="B96" s="1828">
        <f>B30</f>
        <v>111</v>
      </c>
      <c r="C96" s="468"/>
      <c r="D96" s="468"/>
      <c r="E96" s="468"/>
      <c r="F96" s="468"/>
      <c r="G96" s="1547"/>
      <c r="H96" s="1547"/>
      <c r="I96" s="1547"/>
      <c r="J96" s="1547"/>
      <c r="K96" s="473"/>
      <c r="L96" s="473"/>
      <c r="M96" s="1863"/>
      <c r="N96" s="1821"/>
      <c r="O96" s="1821"/>
      <c r="P96" s="1822"/>
      <c r="Q96" s="1791"/>
    </row>
    <row r="97" spans="1:17" ht="14.4" thickBot="1">
      <c r="A97" s="1823"/>
      <c r="B97" s="1831"/>
      <c r="C97" s="1852"/>
      <c r="D97" s="1852"/>
      <c r="E97" s="1852"/>
      <c r="F97" s="1852"/>
      <c r="G97" s="1825"/>
      <c r="H97" s="1825"/>
      <c r="I97" s="1825"/>
      <c r="J97" s="1825"/>
      <c r="K97" s="1825"/>
      <c r="L97" s="1825"/>
      <c r="M97" s="1826"/>
      <c r="N97" s="1827"/>
      <c r="O97" s="1827"/>
      <c r="P97" s="1822"/>
      <c r="Q97" s="1791"/>
    </row>
    <row r="98" spans="1:17" ht="14.4" thickTop="1">
      <c r="A98" s="1823"/>
      <c r="B98" s="1834">
        <f>B31</f>
        <v>111</v>
      </c>
      <c r="C98" s="1864"/>
      <c r="D98" s="1864"/>
      <c r="E98" s="1864"/>
      <c r="F98" s="1864"/>
      <c r="G98" s="1864"/>
      <c r="H98" s="1864"/>
      <c r="I98" s="1864"/>
      <c r="J98" s="1864"/>
      <c r="K98" s="477"/>
      <c r="L98" s="477"/>
      <c r="M98" s="1865"/>
      <c r="N98" s="1821"/>
      <c r="O98" s="1821"/>
      <c r="P98" s="1822"/>
      <c r="Q98" s="1791"/>
    </row>
    <row r="99" spans="1:17" ht="14.4" thickBot="1">
      <c r="A99" s="1866"/>
      <c r="B99" s="1851"/>
      <c r="C99" s="1867"/>
      <c r="D99" s="1867"/>
      <c r="E99" s="1867"/>
      <c r="F99" s="1867"/>
      <c r="G99" s="1867"/>
      <c r="H99" s="1867"/>
      <c r="I99" s="1867"/>
      <c r="J99" s="1867"/>
      <c r="K99" s="1867"/>
      <c r="L99" s="1867"/>
      <c r="M99" s="1868"/>
      <c r="N99" s="1827"/>
      <c r="O99" s="1827"/>
      <c r="P99" s="1822"/>
      <c r="Q99" s="1791"/>
    </row>
    <row r="100" spans="1:17" ht="14.4">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4.4"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4.4"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4.4"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4.4"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4.4"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4.4"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4.4"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9.4"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4.4"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29.4"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4.4" thickBot="1">
      <c r="A127" s="1839"/>
      <c r="B127" s="1831"/>
      <c r="C127" s="1844"/>
      <c r="D127" s="1825"/>
      <c r="E127" s="1825"/>
      <c r="F127" s="1825"/>
      <c r="G127" s="1844"/>
      <c r="H127" s="1847"/>
      <c r="I127" s="1847"/>
      <c r="J127" s="1847"/>
      <c r="K127" s="1847"/>
      <c r="L127" s="1847"/>
      <c r="M127" s="1848"/>
      <c r="N127" s="1841"/>
      <c r="O127" s="1841"/>
      <c r="P127" s="1842"/>
      <c r="Q127" s="1843"/>
    </row>
    <row r="128" spans="1:17" ht="14.4"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4.4" thickBot="1">
      <c r="A129" s="1823"/>
      <c r="B129" s="1831"/>
      <c r="C129" s="1844"/>
      <c r="D129" s="1844"/>
      <c r="E129" s="1844"/>
      <c r="F129" s="1844"/>
      <c r="G129" s="1825"/>
      <c r="H129" s="1825"/>
      <c r="I129" s="1825"/>
      <c r="J129" s="1825"/>
      <c r="K129" s="1825"/>
      <c r="L129" s="1825"/>
      <c r="M129" s="1826"/>
      <c r="N129" s="1827"/>
      <c r="O129" s="1827"/>
      <c r="P129" s="1822"/>
      <c r="Q129" s="1791"/>
    </row>
    <row r="130" spans="1:17" ht="14.4"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4.4"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6.2"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ht="14.4">
      <c r="B147" s="1542" t="s">
        <v>2295</v>
      </c>
    </row>
    <row r="148" spans="2:11" ht="14.4">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2044"/>
      <c r="Y4" s="3633" t="s">
        <v>2194</v>
      </c>
      <c r="Z4" s="3634"/>
      <c r="AA4" s="3642" t="s">
        <v>2190</v>
      </c>
      <c r="AB4" s="3655" t="s">
        <v>2191</v>
      </c>
      <c r="AC4" s="3642" t="s">
        <v>2192</v>
      </c>
    </row>
    <row r="5" spans="1:29">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2044"/>
      <c r="Y5" s="3635"/>
      <c r="Z5" s="3636"/>
      <c r="AA5" s="3643"/>
      <c r="AB5" s="3655"/>
      <c r="AC5" s="3643"/>
    </row>
    <row r="6" spans="1:29"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2044"/>
      <c r="Y6" s="3637"/>
      <c r="Z6" s="3638"/>
      <c r="AA6" s="3644"/>
      <c r="AB6" s="3655"/>
      <c r="AC6" s="3644"/>
    </row>
    <row r="7" spans="1:29" s="1654" customFormat="1" ht="1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631" t="s">
        <v>2202</v>
      </c>
      <c r="Q7" s="3639"/>
      <c r="R7" s="1650" t="s">
        <v>25</v>
      </c>
      <c r="S7" s="1651">
        <f t="shared" ref="S7:S15" si="0">F7</f>
        <v>0</v>
      </c>
      <c r="T7" s="1650" t="s">
        <v>25</v>
      </c>
      <c r="U7" s="1651">
        <f t="shared" ref="U7:U15" si="1">H7</f>
        <v>0</v>
      </c>
      <c r="V7" s="1650" t="s">
        <v>25</v>
      </c>
      <c r="W7" s="1651">
        <f t="shared" ref="W7:W15" si="2">J7</f>
        <v>0</v>
      </c>
      <c r="X7" s="1652"/>
      <c r="Y7" s="3631" t="s">
        <v>2202</v>
      </c>
      <c r="Z7" s="3632"/>
      <c r="AA7" s="1653" t="e">
        <f>D7/F7</f>
        <v>#DIV/0!</v>
      </c>
      <c r="AB7" s="1653" t="e">
        <f>D7/H7</f>
        <v>#DIV/0!</v>
      </c>
      <c r="AC7" s="1653" t="e">
        <f>D7/J7</f>
        <v>#DIV/0!</v>
      </c>
    </row>
    <row r="8" spans="1:29" s="1654" customFormat="1" ht="1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631" t="s">
        <v>2205</v>
      </c>
      <c r="Q8" s="3632"/>
      <c r="R8" s="1650" t="s">
        <v>25</v>
      </c>
      <c r="S8" s="1651">
        <f t="shared" si="0"/>
        <v>0</v>
      </c>
      <c r="T8" s="1650" t="s">
        <v>25</v>
      </c>
      <c r="U8" s="1651">
        <f t="shared" si="1"/>
        <v>0</v>
      </c>
      <c r="V8" s="1650" t="s">
        <v>25</v>
      </c>
      <c r="W8" s="1651">
        <f t="shared" si="2"/>
        <v>0</v>
      </c>
      <c r="X8" s="1652"/>
      <c r="Y8" s="3631" t="s">
        <v>2205</v>
      </c>
      <c r="Z8" s="3632"/>
      <c r="AA8" s="1653" t="e">
        <f t="shared" ref="AA8:AA46" si="3">D8/F8</f>
        <v>#DIV/0!</v>
      </c>
      <c r="AB8" s="1653" t="e">
        <f t="shared" ref="AB8:AB46" si="4">D8/H8</f>
        <v>#DIV/0!</v>
      </c>
      <c r="AC8" s="1653" t="e">
        <f t="shared" ref="AC8:AC46" si="5">D8/J8</f>
        <v>#DIV/0!</v>
      </c>
    </row>
    <row r="9" spans="1:29" s="1654" customFormat="1" ht="14.4">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98" t="s">
        <v>2208</v>
      </c>
      <c r="Q9" s="2035"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98"/>
      <c r="Q10" s="2035"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98"/>
      <c r="Q11" s="2035" t="str">
        <f t="shared" si="6"/>
        <v>容积率</v>
      </c>
      <c r="R11" s="1650" t="s">
        <v>25</v>
      </c>
      <c r="S11" s="1651" t="e">
        <f t="shared" si="0"/>
        <v>#N/A</v>
      </c>
      <c r="T11" s="1650" t="s">
        <v>25</v>
      </c>
      <c r="U11" s="1651" t="e">
        <f t="shared" si="1"/>
        <v>#N/A</v>
      </c>
      <c r="V11" s="1650" t="s">
        <v>25</v>
      </c>
      <c r="W11" s="1651" t="e">
        <f t="shared" si="2"/>
        <v>#N/A</v>
      </c>
      <c r="X11" s="1652"/>
      <c r="Y11" s="344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98"/>
      <c r="Q12" s="2035">
        <f t="shared" si="6"/>
        <v>111</v>
      </c>
      <c r="R12" s="1650" t="s">
        <v>25</v>
      </c>
      <c r="S12" s="1651">
        <f t="shared" si="0"/>
        <v>100</v>
      </c>
      <c r="T12" s="1650" t="s">
        <v>25</v>
      </c>
      <c r="U12" s="1651">
        <f t="shared" si="1"/>
        <v>100</v>
      </c>
      <c r="V12" s="1650" t="s">
        <v>25</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98"/>
      <c r="Q13" s="2035">
        <f t="shared" si="6"/>
        <v>111</v>
      </c>
      <c r="R13" s="1650" t="s">
        <v>25</v>
      </c>
      <c r="S13" s="1651">
        <f t="shared" si="0"/>
        <v>100</v>
      </c>
      <c r="T13" s="1650" t="s">
        <v>25</v>
      </c>
      <c r="U13" s="1651">
        <f t="shared" si="1"/>
        <v>100</v>
      </c>
      <c r="V13" s="1650" t="s">
        <v>25</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98"/>
      <c r="Q14" s="2035">
        <f t="shared" si="6"/>
        <v>111</v>
      </c>
      <c r="R14" s="1650" t="s">
        <v>25</v>
      </c>
      <c r="S14" s="1651">
        <f t="shared" si="0"/>
        <v>100</v>
      </c>
      <c r="T14" s="1650" t="s">
        <v>25</v>
      </c>
      <c r="U14" s="1651">
        <f t="shared" si="1"/>
        <v>100</v>
      </c>
      <c r="V14" s="1650" t="s">
        <v>25</v>
      </c>
      <c r="W14" s="1651">
        <f t="shared" si="2"/>
        <v>100</v>
      </c>
      <c r="X14" s="1652"/>
      <c r="Y14" s="3449"/>
      <c r="Z14" s="1663">
        <f t="shared" si="7"/>
        <v>111</v>
      </c>
      <c r="AA14" s="1653">
        <f t="shared" si="3"/>
        <v>1</v>
      </c>
      <c r="AB14" s="1653">
        <f t="shared" si="4"/>
        <v>1</v>
      </c>
      <c r="AC14" s="1653">
        <f t="shared" si="5"/>
        <v>1</v>
      </c>
    </row>
    <row r="15" spans="1:29" ht="82.8">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693" t="s">
        <v>2213</v>
      </c>
      <c r="Q15" s="2041" t="str">
        <f t="shared" si="6"/>
        <v>商业繁华度</v>
      </c>
      <c r="R15" s="1695" t="s">
        <v>25</v>
      </c>
      <c r="S15" s="1696">
        <f t="shared" si="0"/>
        <v>100</v>
      </c>
      <c r="T15" s="1695" t="s">
        <v>25</v>
      </c>
      <c r="U15" s="1696">
        <f t="shared" si="1"/>
        <v>100</v>
      </c>
      <c r="V15" s="1695" t="s">
        <v>25</v>
      </c>
      <c r="W15" s="1696">
        <f t="shared" si="2"/>
        <v>100</v>
      </c>
      <c r="X15" s="2044"/>
      <c r="Y15" s="3640"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694"/>
      <c r="Q16" s="2041"/>
      <c r="R16" s="1695"/>
      <c r="S16" s="1696"/>
      <c r="T16" s="1695"/>
      <c r="U16" s="1696"/>
      <c r="V16" s="1695"/>
      <c r="W16" s="1696"/>
      <c r="X16" s="2044"/>
      <c r="Y16" s="3641"/>
      <c r="Z16" s="2048"/>
      <c r="AA16" s="2039">
        <v>1</v>
      </c>
      <c r="AB16" s="2039">
        <v>1</v>
      </c>
      <c r="AC16" s="2039">
        <v>1</v>
      </c>
    </row>
    <row r="17" spans="1:29" ht="96.6">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694"/>
      <c r="Q17" s="2041" t="str">
        <f>B17</f>
        <v>交通便捷度</v>
      </c>
      <c r="R17" s="1695" t="s">
        <v>25</v>
      </c>
      <c r="S17" s="1696">
        <f>F17</f>
        <v>100</v>
      </c>
      <c r="T17" s="1695" t="s">
        <v>25</v>
      </c>
      <c r="U17" s="1696">
        <f>H17</f>
        <v>100</v>
      </c>
      <c r="V17" s="1695" t="s">
        <v>25</v>
      </c>
      <c r="W17" s="1696">
        <f>J17</f>
        <v>100</v>
      </c>
      <c r="X17" s="2044"/>
      <c r="Y17" s="3641"/>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694"/>
      <c r="Q18" s="2041"/>
      <c r="R18" s="1695"/>
      <c r="S18" s="1696"/>
      <c r="T18" s="1695"/>
      <c r="U18" s="1696"/>
      <c r="V18" s="1695"/>
      <c r="W18" s="1696"/>
      <c r="X18" s="2044"/>
      <c r="Y18" s="3641"/>
      <c r="Z18" s="2048"/>
      <c r="AA18" s="2039">
        <v>1</v>
      </c>
      <c r="AB18" s="2039">
        <v>1</v>
      </c>
      <c r="AC18" s="2039">
        <v>1</v>
      </c>
    </row>
    <row r="19" spans="1:29" ht="41.4">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694"/>
      <c r="Q19" s="2041" t="str">
        <f>B19</f>
        <v>公共配套设施</v>
      </c>
      <c r="R19" s="1695" t="s">
        <v>25</v>
      </c>
      <c r="S19" s="1696">
        <f>F19</f>
        <v>100</v>
      </c>
      <c r="T19" s="1695" t="s">
        <v>25</v>
      </c>
      <c r="U19" s="1696">
        <f>H19</f>
        <v>100</v>
      </c>
      <c r="V19" s="1695" t="s">
        <v>25</v>
      </c>
      <c r="W19" s="1696">
        <f>J19</f>
        <v>100</v>
      </c>
      <c r="X19" s="2044"/>
      <c r="Y19" s="3641"/>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694"/>
      <c r="Q20" s="2041"/>
      <c r="R20" s="1695"/>
      <c r="S20" s="1696"/>
      <c r="T20" s="1695"/>
      <c r="U20" s="1696"/>
      <c r="V20" s="1695"/>
      <c r="W20" s="1696"/>
      <c r="X20" s="2044"/>
      <c r="Y20" s="3641"/>
      <c r="Z20" s="2048"/>
      <c r="AA20" s="2039">
        <v>1</v>
      </c>
      <c r="AB20" s="2039">
        <v>1</v>
      </c>
      <c r="AC20" s="2039">
        <v>1</v>
      </c>
    </row>
    <row r="21" spans="1:29" ht="41.4">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694"/>
      <c r="Q21" s="2041" t="str">
        <f>B21</f>
        <v>基础设施水平</v>
      </c>
      <c r="R21" s="1695" t="s">
        <v>25</v>
      </c>
      <c r="S21" s="1696">
        <f>F21</f>
        <v>100</v>
      </c>
      <c r="T21" s="1695" t="s">
        <v>25</v>
      </c>
      <c r="U21" s="1696">
        <f>H21</f>
        <v>100</v>
      </c>
      <c r="V21" s="1695" t="s">
        <v>25</v>
      </c>
      <c r="W21" s="1696">
        <f>J21</f>
        <v>100</v>
      </c>
      <c r="X21" s="2044"/>
      <c r="Y21" s="3641"/>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694"/>
      <c r="Q22" s="2041"/>
      <c r="R22" s="1695"/>
      <c r="S22" s="1696"/>
      <c r="T22" s="1695"/>
      <c r="U22" s="1696"/>
      <c r="V22" s="1695"/>
      <c r="W22" s="1696"/>
      <c r="X22" s="2044"/>
      <c r="Y22" s="3641"/>
      <c r="Z22" s="2048"/>
      <c r="AA22" s="2039">
        <v>1</v>
      </c>
      <c r="AB22" s="2039">
        <v>1</v>
      </c>
      <c r="AC22" s="2039">
        <v>1</v>
      </c>
    </row>
    <row r="23" spans="1:29" ht="55.2">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694"/>
      <c r="Q23" s="2041" t="str">
        <f>B23</f>
        <v>自然及人文环境</v>
      </c>
      <c r="R23" s="1695" t="s">
        <v>25</v>
      </c>
      <c r="S23" s="1696">
        <f>F23</f>
        <v>100</v>
      </c>
      <c r="T23" s="1695" t="s">
        <v>25</v>
      </c>
      <c r="U23" s="1696">
        <f>H23</f>
        <v>100</v>
      </c>
      <c r="V23" s="1695" t="s">
        <v>25</v>
      </c>
      <c r="W23" s="1696">
        <f>J23</f>
        <v>100</v>
      </c>
      <c r="X23" s="2044"/>
      <c r="Y23" s="3641"/>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694"/>
      <c r="Q24" s="2041"/>
      <c r="R24" s="1695"/>
      <c r="S24" s="1696"/>
      <c r="T24" s="1695"/>
      <c r="U24" s="1696"/>
      <c r="V24" s="1695"/>
      <c r="W24" s="1696"/>
      <c r="X24" s="2044"/>
      <c r="Y24" s="3641"/>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694"/>
      <c r="Q25" s="2041" t="str">
        <f t="shared" ref="Q25:Q46" si="11">B25</f>
        <v>临街状况</v>
      </c>
      <c r="R25" s="1695" t="s">
        <v>25</v>
      </c>
      <c r="S25" s="1696">
        <f>F25</f>
        <v>100</v>
      </c>
      <c r="T25" s="1695" t="s">
        <v>25</v>
      </c>
      <c r="U25" s="1696">
        <f>H25</f>
        <v>100</v>
      </c>
      <c r="V25" s="1695" t="s">
        <v>25</v>
      </c>
      <c r="W25" s="1696">
        <f>J25</f>
        <v>100</v>
      </c>
      <c r="X25" s="2044"/>
      <c r="Y25" s="3641"/>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694"/>
      <c r="Q26" s="2041" t="str">
        <f t="shared" si="11"/>
        <v>平面位置/可视性</v>
      </c>
      <c r="R26" s="1695" t="s">
        <v>25</v>
      </c>
      <c r="S26" s="1696">
        <f>F26</f>
        <v>100</v>
      </c>
      <c r="T26" s="1695" t="s">
        <v>25</v>
      </c>
      <c r="U26" s="1696">
        <f>H26</f>
        <v>100</v>
      </c>
      <c r="V26" s="1695" t="s">
        <v>25</v>
      </c>
      <c r="W26" s="1696">
        <f>J26</f>
        <v>100</v>
      </c>
      <c r="X26" s="2044"/>
      <c r="Y26" s="3641"/>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694"/>
      <c r="Q27" s="2035" t="str">
        <f t="shared" si="11"/>
        <v>人流量</v>
      </c>
      <c r="R27" s="1650" t="s">
        <v>25</v>
      </c>
      <c r="S27" s="1651">
        <f>F27</f>
        <v>100</v>
      </c>
      <c r="T27" s="1650" t="s">
        <v>25</v>
      </c>
      <c r="U27" s="1651">
        <f>H27</f>
        <v>100</v>
      </c>
      <c r="V27" s="1650" t="s">
        <v>25</v>
      </c>
      <c r="W27" s="1651">
        <f>J27</f>
        <v>100</v>
      </c>
      <c r="X27" s="1652"/>
      <c r="Y27" s="3641"/>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694"/>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41"/>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694"/>
      <c r="Q29" s="2041">
        <f t="shared" si="11"/>
        <v>111</v>
      </c>
      <c r="R29" s="1695" t="s">
        <v>25</v>
      </c>
      <c r="S29" s="1696">
        <f t="shared" si="12"/>
        <v>100</v>
      </c>
      <c r="T29" s="1695" t="s">
        <v>25</v>
      </c>
      <c r="U29" s="1696">
        <f t="shared" si="13"/>
        <v>100</v>
      </c>
      <c r="V29" s="1695" t="s">
        <v>25</v>
      </c>
      <c r="W29" s="1696">
        <f t="shared" si="14"/>
        <v>100</v>
      </c>
      <c r="X29" s="2044"/>
      <c r="Y29" s="3641"/>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694"/>
      <c r="Q30" s="2041">
        <f t="shared" si="11"/>
        <v>111</v>
      </c>
      <c r="R30" s="1695" t="s">
        <v>25</v>
      </c>
      <c r="S30" s="1696">
        <f t="shared" si="12"/>
        <v>100</v>
      </c>
      <c r="T30" s="1695" t="s">
        <v>25</v>
      </c>
      <c r="U30" s="1696">
        <f t="shared" si="13"/>
        <v>100</v>
      </c>
      <c r="V30" s="1695" t="s">
        <v>25</v>
      </c>
      <c r="W30" s="1696">
        <f t="shared" si="14"/>
        <v>100</v>
      </c>
      <c r="X30" s="2044"/>
      <c r="Y30" s="3641"/>
      <c r="Z30" s="2048">
        <f t="shared" si="15"/>
        <v>111</v>
      </c>
      <c r="AA30" s="2039">
        <f t="shared" si="3"/>
        <v>1</v>
      </c>
      <c r="AB30" s="2039">
        <f t="shared" si="4"/>
        <v>1</v>
      </c>
      <c r="AC30" s="2039">
        <f t="shared" si="5"/>
        <v>1</v>
      </c>
    </row>
    <row r="31" spans="1:29" ht="15.6"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694"/>
      <c r="Q31" s="2041">
        <f t="shared" si="11"/>
        <v>111</v>
      </c>
      <c r="R31" s="1695" t="s">
        <v>25</v>
      </c>
      <c r="S31" s="1696">
        <f t="shared" si="12"/>
        <v>100</v>
      </c>
      <c r="T31" s="1695" t="s">
        <v>25</v>
      </c>
      <c r="U31" s="1696">
        <f t="shared" si="13"/>
        <v>100</v>
      </c>
      <c r="V31" s="1695" t="s">
        <v>25</v>
      </c>
      <c r="W31" s="1696">
        <f t="shared" si="14"/>
        <v>100</v>
      </c>
      <c r="X31" s="2044"/>
      <c r="Y31" s="3641"/>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695" t="s">
        <v>2219</v>
      </c>
      <c r="Q32" s="2041" t="str">
        <f t="shared" si="11"/>
        <v>商业类型</v>
      </c>
      <c r="R32" s="1695" t="s">
        <v>25</v>
      </c>
      <c r="S32" s="1696">
        <f t="shared" si="12"/>
        <v>100</v>
      </c>
      <c r="T32" s="1695" t="s">
        <v>25</v>
      </c>
      <c r="U32" s="1696">
        <f t="shared" si="13"/>
        <v>100</v>
      </c>
      <c r="V32" s="1695" t="s">
        <v>25</v>
      </c>
      <c r="W32" s="1696">
        <f t="shared" si="14"/>
        <v>100</v>
      </c>
      <c r="X32" s="2044"/>
      <c r="Y32" s="3629"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696"/>
      <c r="Q33" s="1736" t="str">
        <f t="shared" si="11"/>
        <v>项目建筑规模</v>
      </c>
      <c r="R33" s="1737" t="s">
        <v>25</v>
      </c>
      <c r="S33" s="1738" t="e">
        <f t="shared" si="12"/>
        <v>#N/A</v>
      </c>
      <c r="T33" s="1737" t="s">
        <v>25</v>
      </c>
      <c r="U33" s="1738" t="e">
        <f t="shared" si="13"/>
        <v>#N/A</v>
      </c>
      <c r="V33" s="1737" t="s">
        <v>25</v>
      </c>
      <c r="W33" s="1738" t="e">
        <f t="shared" si="14"/>
        <v>#N/A</v>
      </c>
      <c r="X33" s="1739"/>
      <c r="Y33" s="3629"/>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696"/>
      <c r="Q34" s="2041" t="str">
        <f t="shared" si="11"/>
        <v>建筑结构</v>
      </c>
      <c r="R34" s="1695" t="s">
        <v>25</v>
      </c>
      <c r="S34" s="1696">
        <f t="shared" si="12"/>
        <v>100</v>
      </c>
      <c r="T34" s="1695" t="s">
        <v>25</v>
      </c>
      <c r="U34" s="1696">
        <f t="shared" si="13"/>
        <v>100</v>
      </c>
      <c r="V34" s="1695" t="s">
        <v>25</v>
      </c>
      <c r="W34" s="1696">
        <f t="shared" si="14"/>
        <v>100</v>
      </c>
      <c r="X34" s="2044"/>
      <c r="Y34" s="3629"/>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696"/>
      <c r="Q35" s="2041" t="str">
        <f t="shared" si="11"/>
        <v>公共部分装修</v>
      </c>
      <c r="R35" s="1695" t="s">
        <v>25</v>
      </c>
      <c r="S35" s="1696">
        <f t="shared" si="12"/>
        <v>100</v>
      </c>
      <c r="T35" s="1695" t="s">
        <v>25</v>
      </c>
      <c r="U35" s="1696">
        <f t="shared" si="13"/>
        <v>100</v>
      </c>
      <c r="V35" s="1695" t="s">
        <v>25</v>
      </c>
      <c r="W35" s="1696">
        <f t="shared" si="14"/>
        <v>100</v>
      </c>
      <c r="X35" s="2044"/>
      <c r="Y35" s="3629"/>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696"/>
      <c r="Q36" s="2041" t="str">
        <f t="shared" si="11"/>
        <v>成新度</v>
      </c>
      <c r="R36" s="1695" t="s">
        <v>25</v>
      </c>
      <c r="S36" s="1696" t="e">
        <f t="shared" si="12"/>
        <v>#N/A</v>
      </c>
      <c r="T36" s="1695" t="s">
        <v>25</v>
      </c>
      <c r="U36" s="1696" t="e">
        <f t="shared" si="13"/>
        <v>#N/A</v>
      </c>
      <c r="V36" s="1695" t="s">
        <v>25</v>
      </c>
      <c r="W36" s="1696" t="e">
        <f t="shared" si="14"/>
        <v>#N/A</v>
      </c>
      <c r="X36" s="2044"/>
      <c r="Y36" s="3629"/>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696"/>
      <c r="Q37" s="2035" t="str">
        <f t="shared" si="11"/>
        <v>市政基础设施</v>
      </c>
      <c r="R37" s="1650" t="s">
        <v>25</v>
      </c>
      <c r="S37" s="1651">
        <f t="shared" si="12"/>
        <v>100</v>
      </c>
      <c r="T37" s="1650" t="s">
        <v>25</v>
      </c>
      <c r="U37" s="1651">
        <f t="shared" si="13"/>
        <v>100</v>
      </c>
      <c r="V37" s="1650" t="s">
        <v>25</v>
      </c>
      <c r="W37" s="1651">
        <f t="shared" si="14"/>
        <v>100</v>
      </c>
      <c r="X37" s="1652"/>
      <c r="Y37" s="3629"/>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696" t="s">
        <v>2219</v>
      </c>
      <c r="Q38" s="2041" t="str">
        <f t="shared" si="11"/>
        <v>业态</v>
      </c>
      <c r="R38" s="1695" t="s">
        <v>25</v>
      </c>
      <c r="S38" s="1696">
        <f t="shared" si="12"/>
        <v>100</v>
      </c>
      <c r="T38" s="1695" t="s">
        <v>25</v>
      </c>
      <c r="U38" s="1696">
        <f t="shared" si="13"/>
        <v>100</v>
      </c>
      <c r="V38" s="1695" t="s">
        <v>25</v>
      </c>
      <c r="W38" s="1696">
        <f t="shared" si="14"/>
        <v>100</v>
      </c>
      <c r="X38" s="2044"/>
      <c r="Y38" s="3629"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696"/>
      <c r="Q39" s="2041" t="str">
        <f t="shared" si="11"/>
        <v>层高</v>
      </c>
      <c r="R39" s="1695" t="s">
        <v>25</v>
      </c>
      <c r="S39" s="1696">
        <f t="shared" si="12"/>
        <v>100</v>
      </c>
      <c r="T39" s="1695" t="s">
        <v>25</v>
      </c>
      <c r="U39" s="1696">
        <f t="shared" si="13"/>
        <v>100</v>
      </c>
      <c r="V39" s="1695" t="s">
        <v>25</v>
      </c>
      <c r="W39" s="1696">
        <f t="shared" si="14"/>
        <v>100</v>
      </c>
      <c r="X39" s="2044"/>
      <c r="Y39" s="3629"/>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696"/>
      <c r="Q40" s="2041" t="str">
        <f t="shared" si="11"/>
        <v>单套建筑面积</v>
      </c>
      <c r="R40" s="1695" t="s">
        <v>25</v>
      </c>
      <c r="S40" s="1696">
        <f t="shared" si="12"/>
        <v>100</v>
      </c>
      <c r="T40" s="1695" t="s">
        <v>25</v>
      </c>
      <c r="U40" s="1696">
        <f t="shared" si="13"/>
        <v>100</v>
      </c>
      <c r="V40" s="1695" t="s">
        <v>25</v>
      </c>
      <c r="W40" s="1696">
        <f t="shared" si="14"/>
        <v>100</v>
      </c>
      <c r="X40" s="2044"/>
      <c r="Y40" s="3629"/>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696"/>
      <c r="Q41" s="1736" t="str">
        <f t="shared" si="11"/>
        <v>进深比</v>
      </c>
      <c r="R41" s="1737" t="s">
        <v>25</v>
      </c>
      <c r="S41" s="1738">
        <f t="shared" si="12"/>
        <v>100</v>
      </c>
      <c r="T41" s="1737" t="s">
        <v>25</v>
      </c>
      <c r="U41" s="1738">
        <f t="shared" si="13"/>
        <v>100</v>
      </c>
      <c r="V41" s="1737" t="s">
        <v>25</v>
      </c>
      <c r="W41" s="1738">
        <f t="shared" si="14"/>
        <v>100</v>
      </c>
      <c r="X41" s="1739"/>
      <c r="Y41" s="3629"/>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696"/>
      <c r="Q42" s="2041" t="str">
        <f t="shared" si="11"/>
        <v>内部装修</v>
      </c>
      <c r="R42" s="1695" t="s">
        <v>25</v>
      </c>
      <c r="S42" s="1696">
        <f t="shared" si="12"/>
        <v>100</v>
      </c>
      <c r="T42" s="1695" t="s">
        <v>25</v>
      </c>
      <c r="U42" s="1696">
        <f t="shared" si="13"/>
        <v>100</v>
      </c>
      <c r="V42" s="1695" t="s">
        <v>25</v>
      </c>
      <c r="W42" s="1696">
        <f t="shared" si="14"/>
        <v>100</v>
      </c>
      <c r="X42" s="2044"/>
      <c r="Y42" s="3629"/>
      <c r="Z42" s="2048" t="str">
        <f t="shared" si="15"/>
        <v>内部装修</v>
      </c>
      <c r="AA42" s="2039">
        <f t="shared" si="3"/>
        <v>1</v>
      </c>
      <c r="AB42" s="2039">
        <f t="shared" si="4"/>
        <v>1</v>
      </c>
      <c r="AC42" s="2039">
        <f t="shared" si="5"/>
        <v>1</v>
      </c>
    </row>
    <row r="43" spans="1:29" ht="28.8">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696"/>
      <c r="Q43" s="2041" t="str">
        <f t="shared" si="11"/>
        <v>内部装修维护情况</v>
      </c>
      <c r="R43" s="1695" t="s">
        <v>25</v>
      </c>
      <c r="S43" s="1696">
        <f t="shared" si="12"/>
        <v>100</v>
      </c>
      <c r="T43" s="1695" t="s">
        <v>25</v>
      </c>
      <c r="U43" s="1696">
        <f t="shared" si="13"/>
        <v>100</v>
      </c>
      <c r="V43" s="1695" t="s">
        <v>25</v>
      </c>
      <c r="W43" s="1696">
        <f t="shared" si="14"/>
        <v>100</v>
      </c>
      <c r="X43" s="2044"/>
      <c r="Y43" s="3629"/>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696"/>
      <c r="Q44" s="2035">
        <f t="shared" si="11"/>
        <v>111</v>
      </c>
      <c r="R44" s="1650" t="s">
        <v>25</v>
      </c>
      <c r="S44" s="1651">
        <f t="shared" si="12"/>
        <v>100</v>
      </c>
      <c r="T44" s="1650" t="s">
        <v>25</v>
      </c>
      <c r="U44" s="1651">
        <f t="shared" si="13"/>
        <v>100</v>
      </c>
      <c r="V44" s="1650" t="s">
        <v>25</v>
      </c>
      <c r="W44" s="1651">
        <f t="shared" si="14"/>
        <v>100</v>
      </c>
      <c r="X44" s="1652"/>
      <c r="Y44" s="362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696"/>
      <c r="Q45" s="2041">
        <f t="shared" si="11"/>
        <v>111</v>
      </c>
      <c r="R45" s="1695" t="s">
        <v>25</v>
      </c>
      <c r="S45" s="1696">
        <f t="shared" si="12"/>
        <v>100</v>
      </c>
      <c r="T45" s="1695" t="s">
        <v>25</v>
      </c>
      <c r="U45" s="1696">
        <f t="shared" si="13"/>
        <v>100</v>
      </c>
      <c r="V45" s="1695" t="s">
        <v>25</v>
      </c>
      <c r="W45" s="1696">
        <f t="shared" si="14"/>
        <v>100</v>
      </c>
      <c r="X45" s="2044"/>
      <c r="Y45" s="3629"/>
      <c r="Z45" s="2048">
        <f t="shared" si="15"/>
        <v>111</v>
      </c>
      <c r="AA45" s="2039">
        <f t="shared" si="3"/>
        <v>1</v>
      </c>
      <c r="AB45" s="2039">
        <f t="shared" si="4"/>
        <v>1</v>
      </c>
      <c r="AC45" s="2039">
        <f t="shared" si="5"/>
        <v>1</v>
      </c>
    </row>
    <row r="46" spans="1:29" ht="15.6"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697"/>
      <c r="Q46" s="2041">
        <f t="shared" si="11"/>
        <v>111</v>
      </c>
      <c r="R46" s="1695" t="s">
        <v>25</v>
      </c>
      <c r="S46" s="1696">
        <f t="shared" si="12"/>
        <v>100</v>
      </c>
      <c r="T46" s="1695" t="s">
        <v>25</v>
      </c>
      <c r="U46" s="1696">
        <f t="shared" si="13"/>
        <v>100</v>
      </c>
      <c r="V46" s="1695" t="s">
        <v>25</v>
      </c>
      <c r="W46" s="1696">
        <f t="shared" si="14"/>
        <v>100</v>
      </c>
      <c r="X46" s="2044"/>
      <c r="Y46" s="3630"/>
      <c r="Z46" s="2048">
        <f t="shared" si="15"/>
        <v>111</v>
      </c>
      <c r="AA46" s="2039">
        <f t="shared" si="3"/>
        <v>1</v>
      </c>
      <c r="AB46" s="2039">
        <f t="shared" si="4"/>
        <v>1</v>
      </c>
      <c r="AC46" s="2039">
        <f t="shared" si="5"/>
        <v>1</v>
      </c>
    </row>
    <row r="47" spans="1:29" ht="14.4">
      <c r="A47" s="1751" t="s">
        <v>2231</v>
      </c>
      <c r="B47" s="1752"/>
      <c r="C47" s="1753" t="s">
        <v>1</v>
      </c>
      <c r="D47" s="1754"/>
      <c r="E47" s="1755"/>
      <c r="F47" s="1756"/>
      <c r="G47" s="1757"/>
      <c r="H47" s="1758"/>
      <c r="I47" s="1755"/>
      <c r="J47" s="1758"/>
      <c r="K47" s="1983"/>
      <c r="L47" s="2970"/>
      <c r="N47" s="2965"/>
      <c r="P47" s="3623" t="str">
        <f>A47</f>
        <v>成交单价（元/平方米）</v>
      </c>
      <c r="Q47" s="3623"/>
      <c r="R47" s="3624">
        <f>E47</f>
        <v>0</v>
      </c>
      <c r="S47" s="3624"/>
      <c r="T47" s="3624">
        <f>G47</f>
        <v>0</v>
      </c>
      <c r="U47" s="3624"/>
      <c r="V47" s="3624">
        <f>I47</f>
        <v>0</v>
      </c>
      <c r="W47" s="3624"/>
      <c r="X47" s="1761"/>
      <c r="Y47" s="2043"/>
      <c r="Z47" s="1761"/>
      <c r="AA47" s="1761"/>
      <c r="AB47" s="1761"/>
      <c r="AC47" s="1761"/>
    </row>
    <row r="48" spans="1:29" ht="15" thickBot="1">
      <c r="A48" s="1763" t="s">
        <v>2314</v>
      </c>
      <c r="B48" s="1764"/>
      <c r="C48" s="1765" t="e">
        <f>R49</f>
        <v>#DIV/0!</v>
      </c>
      <c r="D48" s="1766" t="s">
        <v>2687</v>
      </c>
      <c r="E48" s="1767" t="e">
        <f>R48</f>
        <v>#DIV/0!</v>
      </c>
      <c r="F48" s="1768"/>
      <c r="G48" s="1765" t="e">
        <f>T48</f>
        <v>#DIV/0!</v>
      </c>
      <c r="H48" s="1768"/>
      <c r="I48" s="1767" t="e">
        <f>V48</f>
        <v>#DIV/0!</v>
      </c>
      <c r="J48" s="1768"/>
      <c r="K48" s="2480">
        <f>F48+H48+J48</f>
        <v>0</v>
      </c>
      <c r="L48" s="2970"/>
      <c r="N48" s="2965"/>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61"/>
      <c r="Y48" s="1761"/>
      <c r="Z48" s="1761"/>
      <c r="AA48" s="1761"/>
      <c r="AB48" s="1761"/>
      <c r="AC48" s="1761"/>
    </row>
    <row r="49" spans="1:29" ht="15" thickBot="1">
      <c r="A49" s="1769" t="s">
        <v>2315</v>
      </c>
      <c r="B49" s="1770"/>
      <c r="C49" s="1772" t="e">
        <f>R49</f>
        <v>#DIV/0!</v>
      </c>
      <c r="D49" s="1772"/>
      <c r="E49" s="1772"/>
      <c r="F49" s="1772"/>
      <c r="G49" s="1772"/>
      <c r="H49" s="1772"/>
      <c r="I49" s="1772"/>
      <c r="J49" s="1772"/>
      <c r="K49" s="1988"/>
      <c r="L49" s="2970"/>
      <c r="N49" s="2965"/>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2.2" thickBot="1">
      <c r="A57" s="1786" t="s">
        <v>2319</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4.4">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4.4">
      <c r="A61" s="1809" t="s">
        <v>2203</v>
      </c>
      <c r="B61" s="1799"/>
      <c r="C61" s="1810" t="s">
        <v>2204</v>
      </c>
      <c r="D61" s="409"/>
      <c r="E61" s="409"/>
      <c r="F61" s="409"/>
      <c r="G61" s="409"/>
      <c r="H61" s="409"/>
      <c r="I61" s="409"/>
      <c r="J61" s="409"/>
      <c r="K61" s="409"/>
      <c r="L61" s="409"/>
      <c r="M61" s="1811"/>
      <c r="N61" s="2982"/>
      <c r="O61" s="2982"/>
      <c r="P61" s="1813"/>
      <c r="Q61" s="1791"/>
    </row>
    <row r="62" spans="1:29" s="1654" customFormat="1" ht="14.4" thickBot="1">
      <c r="A62" s="1809"/>
      <c r="B62" s="1799"/>
      <c r="C62" s="1814">
        <v>100</v>
      </c>
      <c r="D62" s="1801"/>
      <c r="E62" s="1801"/>
      <c r="F62" s="1801"/>
      <c r="G62" s="1801"/>
      <c r="H62" s="1801"/>
      <c r="I62" s="1801"/>
      <c r="J62" s="1801"/>
      <c r="K62" s="1801"/>
      <c r="L62" s="1801"/>
      <c r="M62" s="1815"/>
      <c r="N62" s="2982"/>
      <c r="O62" s="2982"/>
      <c r="P62" s="1803"/>
      <c r="Q62" s="1791"/>
    </row>
    <row r="63" spans="1:29" ht="14.4">
      <c r="A63" s="1816" t="s">
        <v>2242</v>
      </c>
      <c r="B63" s="1817" t="s">
        <v>2207</v>
      </c>
      <c r="C63" s="1818">
        <f>C9</f>
        <v>0</v>
      </c>
      <c r="D63" s="1819"/>
      <c r="E63" s="1819"/>
      <c r="F63" s="1819"/>
      <c r="G63" s="1819"/>
      <c r="H63" s="1819"/>
      <c r="I63" s="1819"/>
      <c r="J63" s="1819"/>
      <c r="K63" s="417"/>
      <c r="L63" s="417"/>
      <c r="M63" s="1820"/>
      <c r="N63" s="2983"/>
      <c r="O63" s="2983"/>
      <c r="P63" s="1822"/>
      <c r="Q63" s="1791"/>
    </row>
    <row r="64" spans="1:29" ht="14.4" thickBot="1">
      <c r="A64" s="1823"/>
      <c r="B64" s="1824"/>
      <c r="C64" s="1825">
        <v>100</v>
      </c>
      <c r="D64" s="1825"/>
      <c r="E64" s="1825"/>
      <c r="F64" s="1825"/>
      <c r="G64" s="1825"/>
      <c r="H64" s="1825"/>
      <c r="I64" s="1825"/>
      <c r="J64" s="1825"/>
      <c r="K64" s="1825"/>
      <c r="L64" s="1825"/>
      <c r="M64" s="1826"/>
      <c r="N64" s="2984"/>
      <c r="O64" s="2984"/>
      <c r="P64" s="1822"/>
      <c r="Q64" s="1791"/>
    </row>
    <row r="65" spans="1:17" ht="29.4"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3"/>
      <c r="O65" s="2983"/>
      <c r="P65" s="1822"/>
      <c r="Q65" s="1791"/>
    </row>
    <row r="66" spans="1:17" ht="14.4"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c r="A68" s="1823"/>
      <c r="B68" s="1836"/>
      <c r="C68" s="1837"/>
      <c r="D68" s="1837"/>
      <c r="E68" s="1837"/>
      <c r="F68" s="1837"/>
      <c r="G68" s="1837"/>
      <c r="H68" s="1837"/>
      <c r="I68" s="1837"/>
      <c r="J68" s="1837"/>
      <c r="K68" s="438"/>
      <c r="L68" s="438"/>
      <c r="M68" s="1838"/>
      <c r="N68" s="2983"/>
      <c r="O68" s="2983"/>
      <c r="P68" s="1822"/>
      <c r="Q68" s="1791"/>
    </row>
    <row r="69" spans="1:17" ht="14.4"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4.4"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4.4" thickBot="1">
      <c r="A71" s="1839"/>
      <c r="B71" s="1831"/>
      <c r="C71" s="1844"/>
      <c r="D71" s="1825"/>
      <c r="E71" s="1825"/>
      <c r="F71" s="1825"/>
      <c r="G71" s="1825"/>
      <c r="H71" s="1825"/>
      <c r="I71" s="1825"/>
      <c r="J71" s="1825"/>
      <c r="K71" s="1825"/>
      <c r="L71" s="1825"/>
      <c r="M71" s="1826"/>
      <c r="N71" s="2984"/>
      <c r="O71" s="2984"/>
      <c r="P71" s="1842"/>
      <c r="Q71" s="1843"/>
    </row>
    <row r="72" spans="1:17" s="1741" customFormat="1" ht="14.4"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4.4" thickBot="1">
      <c r="A73" s="1839"/>
      <c r="B73" s="1831"/>
      <c r="C73" s="1844"/>
      <c r="D73" s="1825"/>
      <c r="E73" s="1825"/>
      <c r="F73" s="1825"/>
      <c r="G73" s="1844"/>
      <c r="H73" s="1847"/>
      <c r="I73" s="1847"/>
      <c r="J73" s="1847"/>
      <c r="K73" s="1847"/>
      <c r="L73" s="1847"/>
      <c r="M73" s="1848"/>
      <c r="N73" s="2985"/>
      <c r="O73" s="2985"/>
      <c r="P73" s="1842"/>
      <c r="Q73" s="1843"/>
    </row>
    <row r="74" spans="1:17" s="1741" customFormat="1" ht="14.4"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4.4" thickBot="1">
      <c r="A75" s="1850"/>
      <c r="B75" s="1851"/>
      <c r="C75" s="1852"/>
      <c r="D75" s="1852"/>
      <c r="E75" s="1852"/>
      <c r="F75" s="1852"/>
      <c r="G75" s="1852"/>
      <c r="H75" s="1853"/>
      <c r="I75" s="1853"/>
      <c r="J75" s="1853"/>
      <c r="K75" s="1853"/>
      <c r="L75" s="1853"/>
      <c r="M75" s="1854"/>
      <c r="N75" s="2985"/>
      <c r="O75" s="2985"/>
      <c r="P75" s="1842"/>
      <c r="Q75" s="1843"/>
    </row>
    <row r="76" spans="1:17" ht="14.4">
      <c r="A76" s="1816" t="s">
        <v>2212</v>
      </c>
      <c r="B76" s="1817" t="s">
        <v>2250</v>
      </c>
      <c r="C76" s="1855" t="s">
        <v>2251</v>
      </c>
      <c r="D76" s="1855" t="s">
        <v>2252</v>
      </c>
      <c r="E76" s="1855" t="s">
        <v>2253</v>
      </c>
      <c r="F76" s="1855" t="s">
        <v>2254</v>
      </c>
      <c r="G76" s="1855" t="s">
        <v>2255</v>
      </c>
      <c r="H76" s="1818"/>
      <c r="I76" s="1818"/>
      <c r="J76" s="1818"/>
      <c r="K76" s="463"/>
      <c r="L76" s="463"/>
      <c r="M76" s="1856"/>
      <c r="N76" s="2983"/>
      <c r="O76" s="2983"/>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 thickTop="1">
      <c r="A78" s="1823"/>
      <c r="B78" s="1828" t="s">
        <v>2256</v>
      </c>
      <c r="C78" s="579" t="s">
        <v>2251</v>
      </c>
      <c r="D78" s="579" t="s">
        <v>2252</v>
      </c>
      <c r="E78" s="579" t="s">
        <v>2253</v>
      </c>
      <c r="F78" s="579" t="s">
        <v>2254</v>
      </c>
      <c r="G78" s="579" t="s">
        <v>2255</v>
      </c>
      <c r="H78" s="1829"/>
      <c r="I78" s="1829"/>
      <c r="J78" s="1829"/>
      <c r="K78" s="428"/>
      <c r="L78" s="428"/>
      <c r="M78" s="1830"/>
      <c r="N78" s="2983"/>
      <c r="O78" s="2983"/>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 thickTop="1">
      <c r="A80" s="1823"/>
      <c r="B80" s="1828" t="s">
        <v>2257</v>
      </c>
      <c r="C80" s="579" t="s">
        <v>2251</v>
      </c>
      <c r="D80" s="579" t="s">
        <v>2252</v>
      </c>
      <c r="E80" s="579" t="s">
        <v>2253</v>
      </c>
      <c r="F80" s="579" t="s">
        <v>2254</v>
      </c>
      <c r="G80" s="579" t="s">
        <v>2255</v>
      </c>
      <c r="H80" s="1829"/>
      <c r="I80" s="1829"/>
      <c r="J80" s="1829"/>
      <c r="K80" s="428"/>
      <c r="L80" s="428"/>
      <c r="M80" s="1830"/>
      <c r="N80" s="2983"/>
      <c r="O80" s="2983"/>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 thickTop="1">
      <c r="A82" s="1823"/>
      <c r="B82" s="1834" t="s">
        <v>2300</v>
      </c>
      <c r="C82" s="1829" t="s">
        <v>2258</v>
      </c>
      <c r="D82" s="1829" t="s">
        <v>2259</v>
      </c>
      <c r="E82" s="1829" t="s">
        <v>2260</v>
      </c>
      <c r="F82" s="1829" t="s">
        <v>2261</v>
      </c>
      <c r="G82" s="1829" t="s">
        <v>2262</v>
      </c>
      <c r="H82" s="1829"/>
      <c r="I82" s="1829"/>
      <c r="J82" s="1829"/>
      <c r="K82" s="1829"/>
      <c r="L82" s="1829"/>
      <c r="M82" s="1857"/>
      <c r="N82" s="2984"/>
      <c r="O82" s="2984"/>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 thickTop="1">
      <c r="A84" s="1823"/>
      <c r="B84" s="1828" t="s">
        <v>2263</v>
      </c>
      <c r="C84" s="579" t="s">
        <v>2251</v>
      </c>
      <c r="D84" s="579" t="s">
        <v>2252</v>
      </c>
      <c r="E84" s="579" t="s">
        <v>2253</v>
      </c>
      <c r="F84" s="579" t="s">
        <v>2254</v>
      </c>
      <c r="G84" s="579" t="s">
        <v>2255</v>
      </c>
      <c r="H84" s="1829"/>
      <c r="I84" s="1829"/>
      <c r="J84" s="1829"/>
      <c r="K84" s="428"/>
      <c r="L84" s="428"/>
      <c r="M84" s="1830"/>
      <c r="N84" s="2983"/>
      <c r="O84" s="2983"/>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 thickTop="1">
      <c r="A86" s="1859"/>
      <c r="B86" s="1828" t="s">
        <v>2320</v>
      </c>
      <c r="C86" s="468"/>
      <c r="D86" s="468"/>
      <c r="E86" s="468"/>
      <c r="F86" s="468"/>
      <c r="G86" s="468"/>
      <c r="H86" s="468"/>
      <c r="I86" s="468"/>
      <c r="J86" s="468"/>
      <c r="K86" s="468"/>
      <c r="L86" s="468"/>
      <c r="M86" s="1860"/>
      <c r="N86" s="2982"/>
      <c r="O86" s="2982"/>
      <c r="P86" s="1822"/>
      <c r="Q86" s="1791"/>
    </row>
    <row r="87" spans="1:17" s="1654" customFormat="1" ht="14.4"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4.4"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4.4" thickBot="1">
      <c r="A89" s="1859"/>
      <c r="B89" s="1831"/>
      <c r="C89" s="1844"/>
      <c r="D89" s="1825"/>
      <c r="E89" s="1825"/>
      <c r="F89" s="1825"/>
      <c r="G89" s="1825"/>
      <c r="H89" s="1825"/>
      <c r="I89" s="1825"/>
      <c r="J89" s="1825"/>
      <c r="K89" s="1825"/>
      <c r="L89" s="1825"/>
      <c r="M89" s="1825"/>
      <c r="N89" s="2984"/>
      <c r="O89" s="2984"/>
      <c r="P89" s="1822"/>
      <c r="Q89" s="1791"/>
    </row>
    <row r="90" spans="1:17" s="1741" customFormat="1" ht="14.4"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4.4"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4.4" thickTop="1">
      <c r="A92" s="1823"/>
      <c r="B92" s="1828" t="str">
        <f>B28</f>
        <v>楼层</v>
      </c>
      <c r="C92" s="468"/>
      <c r="D92" s="468"/>
      <c r="E92" s="468"/>
      <c r="F92" s="468"/>
      <c r="G92" s="468"/>
      <c r="H92" s="468"/>
      <c r="I92" s="468"/>
      <c r="J92" s="468"/>
      <c r="K92" s="468"/>
      <c r="L92" s="468"/>
      <c r="M92" s="1860"/>
      <c r="N92" s="2983"/>
      <c r="O92" s="2983"/>
      <c r="P92" s="1822"/>
      <c r="Q92" s="1791"/>
    </row>
    <row r="93" spans="1:17" ht="14.4" thickBot="1">
      <c r="A93" s="1823"/>
      <c r="B93" s="1831"/>
      <c r="C93" s="1825"/>
      <c r="D93" s="1825"/>
      <c r="E93" s="1825"/>
      <c r="F93" s="1825"/>
      <c r="G93" s="1825"/>
      <c r="H93" s="1825"/>
      <c r="I93" s="1825"/>
      <c r="J93" s="1825"/>
      <c r="K93" s="1825"/>
      <c r="L93" s="1825"/>
      <c r="M93" s="1826"/>
      <c r="N93" s="2984"/>
      <c r="O93" s="2984"/>
      <c r="P93" s="1822"/>
      <c r="Q93" s="1791"/>
    </row>
    <row r="94" spans="1:17" ht="14.4" thickTop="1">
      <c r="A94" s="1823"/>
      <c r="B94" s="1828">
        <f>B29</f>
        <v>111</v>
      </c>
      <c r="C94" s="468"/>
      <c r="D94" s="468"/>
      <c r="E94" s="468"/>
      <c r="F94" s="468"/>
      <c r="G94" s="1547"/>
      <c r="H94" s="1547"/>
      <c r="I94" s="1547"/>
      <c r="J94" s="1547"/>
      <c r="K94" s="473"/>
      <c r="L94" s="473"/>
      <c r="M94" s="1863"/>
      <c r="N94" s="2983"/>
      <c r="O94" s="2983"/>
      <c r="P94" s="1822"/>
      <c r="Q94" s="1791"/>
    </row>
    <row r="95" spans="1:17" ht="14.4" thickBot="1">
      <c r="A95" s="1823"/>
      <c r="B95" s="1831"/>
      <c r="C95" s="1844"/>
      <c r="D95" s="1825"/>
      <c r="E95" s="1825"/>
      <c r="F95" s="1825"/>
      <c r="G95" s="1825"/>
      <c r="H95" s="1825"/>
      <c r="I95" s="1825"/>
      <c r="J95" s="1825"/>
      <c r="K95" s="1825"/>
      <c r="L95" s="1825"/>
      <c r="M95" s="1826"/>
      <c r="N95" s="2984"/>
      <c r="O95" s="2984"/>
      <c r="P95" s="1822"/>
      <c r="Q95" s="1791"/>
    </row>
    <row r="96" spans="1:17" ht="14.4" thickTop="1">
      <c r="A96" s="1823"/>
      <c r="B96" s="1828">
        <f>B30</f>
        <v>111</v>
      </c>
      <c r="C96" s="468"/>
      <c r="D96" s="468"/>
      <c r="E96" s="468"/>
      <c r="F96" s="468"/>
      <c r="G96" s="1547"/>
      <c r="H96" s="1547"/>
      <c r="I96" s="1547"/>
      <c r="J96" s="1547"/>
      <c r="K96" s="473"/>
      <c r="L96" s="473"/>
      <c r="M96" s="1863"/>
      <c r="N96" s="2983"/>
      <c r="O96" s="2983"/>
      <c r="P96" s="1822"/>
      <c r="Q96" s="1791"/>
    </row>
    <row r="97" spans="1:17" ht="14.4" thickBot="1">
      <c r="A97" s="1823"/>
      <c r="B97" s="1831"/>
      <c r="C97" s="1844"/>
      <c r="D97" s="1825"/>
      <c r="E97" s="1825"/>
      <c r="F97" s="1825"/>
      <c r="G97" s="1825"/>
      <c r="H97" s="1825"/>
      <c r="I97" s="1825"/>
      <c r="J97" s="1825"/>
      <c r="K97" s="1825"/>
      <c r="L97" s="1825"/>
      <c r="M97" s="1826"/>
      <c r="N97" s="2984"/>
      <c r="O97" s="2984"/>
      <c r="P97" s="1822"/>
      <c r="Q97" s="1791"/>
    </row>
    <row r="98" spans="1:17" ht="14.4" thickTop="1">
      <c r="A98" s="1823"/>
      <c r="B98" s="1834">
        <f>B31</f>
        <v>111</v>
      </c>
      <c r="C98" s="468"/>
      <c r="D98" s="468"/>
      <c r="E98" s="468"/>
      <c r="F98" s="468"/>
      <c r="G98" s="1864"/>
      <c r="H98" s="1864"/>
      <c r="I98" s="1864"/>
      <c r="J98" s="1864"/>
      <c r="K98" s="477"/>
      <c r="L98" s="477"/>
      <c r="M98" s="1865"/>
      <c r="N98" s="2983"/>
      <c r="O98" s="2983"/>
      <c r="P98" s="1822"/>
      <c r="Q98" s="1791"/>
    </row>
    <row r="99" spans="1:17" ht="14.4" thickBot="1">
      <c r="A99" s="1866"/>
      <c r="B99" s="1851"/>
      <c r="C99" s="1852"/>
      <c r="D99" s="1852"/>
      <c r="E99" s="1852"/>
      <c r="F99" s="1852"/>
      <c r="G99" s="1867"/>
      <c r="H99" s="1867"/>
      <c r="I99" s="1867"/>
      <c r="J99" s="1867"/>
      <c r="K99" s="1867"/>
      <c r="L99" s="1867"/>
      <c r="M99" s="1868"/>
      <c r="N99" s="2984"/>
      <c r="O99" s="2984"/>
      <c r="P99" s="1822"/>
      <c r="Q99" s="1791"/>
    </row>
    <row r="100" spans="1:17" ht="14.4">
      <c r="A100" s="1816" t="s">
        <v>2217</v>
      </c>
      <c r="B100" s="1817" t="s">
        <v>2321</v>
      </c>
      <c r="C100" s="1819"/>
      <c r="D100" s="1819"/>
      <c r="E100" s="1819"/>
      <c r="F100" s="1819"/>
      <c r="G100" s="1819"/>
      <c r="H100" s="1819"/>
      <c r="I100" s="1819"/>
      <c r="J100" s="1819"/>
      <c r="K100" s="417"/>
      <c r="L100" s="417"/>
      <c r="M100" s="1820"/>
      <c r="N100" s="2983"/>
      <c r="O100" s="2983"/>
      <c r="P100" s="1822"/>
      <c r="Q100" s="1791"/>
    </row>
    <row r="101" spans="1:17" ht="14.4"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4.4"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2268</v>
      </c>
      <c r="C105" s="468"/>
      <c r="D105" s="468"/>
      <c r="E105" s="1547"/>
      <c r="F105" s="1547"/>
      <c r="G105" s="1547"/>
      <c r="H105" s="1547"/>
      <c r="I105" s="1547"/>
      <c r="J105" s="1547"/>
      <c r="K105" s="473"/>
      <c r="L105" s="473"/>
      <c r="M105" s="1863"/>
      <c r="N105" s="2983"/>
      <c r="O105" s="2983"/>
      <c r="P105" s="1822"/>
      <c r="Q105" s="1791"/>
    </row>
    <row r="106" spans="1:17" ht="14.4"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2270</v>
      </c>
      <c r="C107" s="468"/>
      <c r="D107" s="468"/>
      <c r="E107" s="468"/>
      <c r="F107" s="1547"/>
      <c r="G107" s="1547"/>
      <c r="H107" s="1547"/>
      <c r="I107" s="1547"/>
      <c r="J107" s="1547"/>
      <c r="K107" s="473"/>
      <c r="L107" s="473"/>
      <c r="M107" s="1863"/>
      <c r="N107" s="2983"/>
      <c r="O107" s="2983"/>
      <c r="P107" s="1822"/>
      <c r="Q107" s="1791"/>
    </row>
    <row r="108" spans="1:17" ht="14.4"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4.4"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5"/>
      <c r="O112" s="2985"/>
      <c r="P112" s="1842"/>
      <c r="Q112" s="1843"/>
    </row>
    <row r="113" spans="1:17" s="1741" customFormat="1" ht="14.4"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2322</v>
      </c>
      <c r="C114" s="468"/>
      <c r="D114" s="468"/>
      <c r="E114" s="1547"/>
      <c r="F114" s="1547"/>
      <c r="G114" s="1547"/>
      <c r="H114" s="1547"/>
      <c r="I114" s="1547"/>
      <c r="J114" s="1547"/>
      <c r="K114" s="473"/>
      <c r="L114" s="473"/>
      <c r="M114" s="1863"/>
      <c r="N114" s="2983"/>
      <c r="O114" s="2983"/>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2323</v>
      </c>
      <c r="C116" s="468"/>
      <c r="D116" s="468"/>
      <c r="E116" s="468"/>
      <c r="F116" s="468"/>
      <c r="G116" s="468"/>
      <c r="H116" s="1547"/>
      <c r="I116" s="1547"/>
      <c r="J116" s="1547"/>
      <c r="K116" s="473"/>
      <c r="L116" s="473"/>
      <c r="M116" s="1863"/>
      <c r="N116" s="2983"/>
      <c r="O116" s="2983"/>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2324</v>
      </c>
      <c r="C118" s="2455"/>
      <c r="D118" s="2455"/>
      <c r="E118" s="2455"/>
      <c r="F118" s="2455"/>
      <c r="G118" s="2455"/>
      <c r="H118" s="443"/>
      <c r="I118" s="443"/>
      <c r="J118" s="443"/>
      <c r="K118" s="443"/>
      <c r="L118" s="443"/>
      <c r="M118" s="1840"/>
      <c r="N118" s="2983"/>
      <c r="O118" s="2983"/>
      <c r="P118" s="1822"/>
      <c r="Q118" s="1791"/>
    </row>
    <row r="119" spans="1:17" ht="14.4"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5"/>
      <c r="O120" s="2985"/>
      <c r="P120" s="1842"/>
      <c r="Q120" s="1843"/>
    </row>
    <row r="121" spans="1:17" s="1741" customFormat="1" ht="14.4"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2275</v>
      </c>
      <c r="C122" s="468"/>
      <c r="D122" s="468"/>
      <c r="E122" s="468"/>
      <c r="F122" s="1547"/>
      <c r="G122" s="1547"/>
      <c r="H122" s="1547"/>
      <c r="I122" s="1547"/>
      <c r="J122" s="1547"/>
      <c r="K122" s="473"/>
      <c r="L122" s="473"/>
      <c r="M122" s="1863"/>
      <c r="N122" s="2983"/>
      <c r="O122" s="2983"/>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29.4" thickTop="1">
      <c r="A124" s="1873"/>
      <c r="B124" s="1828" t="s">
        <v>2276</v>
      </c>
      <c r="C124" s="579" t="s">
        <v>2251</v>
      </c>
      <c r="D124" s="579" t="s">
        <v>2252</v>
      </c>
      <c r="E124" s="579" t="s">
        <v>2253</v>
      </c>
      <c r="F124" s="579" t="s">
        <v>2254</v>
      </c>
      <c r="G124" s="579" t="s">
        <v>2255</v>
      </c>
      <c r="H124" s="1829"/>
      <c r="I124" s="1829"/>
      <c r="J124" s="1829"/>
      <c r="K124" s="428"/>
      <c r="L124" s="428"/>
      <c r="M124" s="1830"/>
      <c r="N124" s="2983"/>
      <c r="O124" s="2983"/>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4.4" thickBot="1">
      <c r="A127" s="1839"/>
      <c r="B127" s="1831"/>
      <c r="C127" s="1844"/>
      <c r="D127" s="1825"/>
      <c r="E127" s="1825"/>
      <c r="F127" s="1825"/>
      <c r="G127" s="1844"/>
      <c r="H127" s="1847"/>
      <c r="I127" s="1847"/>
      <c r="J127" s="1847"/>
      <c r="K127" s="1847"/>
      <c r="L127" s="1847"/>
      <c r="M127" s="1848"/>
      <c r="N127" s="2985"/>
      <c r="O127" s="2985"/>
      <c r="P127" s="1842"/>
      <c r="Q127" s="1843"/>
    </row>
    <row r="128" spans="1:17" ht="14.4"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4.4" thickBot="1">
      <c r="A129" s="1823"/>
      <c r="B129" s="1831"/>
      <c r="C129" s="1844"/>
      <c r="D129" s="1825"/>
      <c r="E129" s="1825"/>
      <c r="F129" s="1825"/>
      <c r="G129" s="1825"/>
      <c r="H129" s="1825"/>
      <c r="I129" s="1825"/>
      <c r="J129" s="1825"/>
      <c r="K129" s="1825"/>
      <c r="L129" s="1825"/>
      <c r="M129" s="1826"/>
      <c r="N129" s="2984"/>
      <c r="O129" s="2984"/>
      <c r="P129" s="1822"/>
      <c r="Q129" s="1791"/>
    </row>
    <row r="130" spans="1:17" ht="14.4"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4.4"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589" t="s">
        <v>2202</v>
      </c>
      <c r="Q7" s="3597"/>
      <c r="R7" s="627" t="s">
        <v>25</v>
      </c>
      <c r="S7" s="628">
        <f t="shared" ref="S7:S14" si="0">F7</f>
        <v>0</v>
      </c>
      <c r="T7" s="627" t="s">
        <v>25</v>
      </c>
      <c r="U7" s="628">
        <f t="shared" ref="U7:U14" si="1">H7</f>
        <v>0</v>
      </c>
      <c r="V7" s="627" t="s">
        <v>25</v>
      </c>
      <c r="W7" s="628">
        <f t="shared" ref="W7:W14" si="2">J7</f>
        <v>0</v>
      </c>
      <c r="X7" s="629"/>
      <c r="Y7" s="3589" t="s">
        <v>2202</v>
      </c>
      <c r="Z7" s="3590"/>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581" t="s">
        <v>2208</v>
      </c>
      <c r="Q9" s="1296" t="str">
        <f t="shared" ref="Q9:Q14" si="6">B9</f>
        <v>用途</v>
      </c>
      <c r="R9" s="627" t="s">
        <v>25</v>
      </c>
      <c r="S9" s="628">
        <f t="shared" si="0"/>
        <v>100</v>
      </c>
      <c r="T9" s="627" t="s">
        <v>25</v>
      </c>
      <c r="U9" s="628">
        <f t="shared" si="1"/>
        <v>100</v>
      </c>
      <c r="V9" s="627" t="s">
        <v>25</v>
      </c>
      <c r="W9" s="628">
        <f t="shared" si="2"/>
        <v>100</v>
      </c>
      <c r="X9" s="629"/>
      <c r="Y9" s="3600"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581"/>
      <c r="Q11" s="1296">
        <f t="shared" si="6"/>
        <v>111</v>
      </c>
      <c r="R11" s="627" t="s">
        <v>25</v>
      </c>
      <c r="S11" s="628">
        <f t="shared" si="0"/>
        <v>100</v>
      </c>
      <c r="T11" s="627" t="s">
        <v>25</v>
      </c>
      <c r="U11" s="628">
        <f t="shared" si="1"/>
        <v>100</v>
      </c>
      <c r="V11" s="627" t="s">
        <v>25</v>
      </c>
      <c r="W11" s="628">
        <f t="shared" si="2"/>
        <v>100</v>
      </c>
      <c r="X11" s="629"/>
      <c r="Y11" s="36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96.6">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598" t="s">
        <v>2213</v>
      </c>
      <c r="Q14" s="1303" t="str">
        <f t="shared" si="6"/>
        <v>交通便捷度</v>
      </c>
      <c r="R14" s="631" t="s">
        <v>25</v>
      </c>
      <c r="S14" s="632">
        <f t="shared" si="0"/>
        <v>100</v>
      </c>
      <c r="T14" s="631" t="s">
        <v>25</v>
      </c>
      <c r="U14" s="632">
        <f t="shared" si="1"/>
        <v>100</v>
      </c>
      <c r="V14" s="631" t="s">
        <v>25</v>
      </c>
      <c r="W14" s="632">
        <f t="shared" si="2"/>
        <v>100</v>
      </c>
      <c r="X14" s="1304"/>
      <c r="Y14" s="3598"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599"/>
      <c r="Q15" s="1303"/>
      <c r="R15" s="631"/>
      <c r="S15" s="632"/>
      <c r="T15" s="631"/>
      <c r="U15" s="632"/>
      <c r="V15" s="631"/>
      <c r="W15" s="632"/>
      <c r="X15" s="1304"/>
      <c r="Y15" s="3599"/>
      <c r="Z15" s="1305"/>
      <c r="AA15" s="1306">
        <v>1</v>
      </c>
      <c r="AB15" s="1306">
        <v>1</v>
      </c>
      <c r="AC15" s="1306">
        <v>1</v>
      </c>
    </row>
    <row r="16" spans="1:29" ht="41.4">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599"/>
      <c r="Q16" s="1303" t="str">
        <f>B16</f>
        <v>公共配套设施</v>
      </c>
      <c r="R16" s="631" t="s">
        <v>25</v>
      </c>
      <c r="S16" s="632">
        <f>F16</f>
        <v>100</v>
      </c>
      <c r="T16" s="631" t="s">
        <v>25</v>
      </c>
      <c r="U16" s="632">
        <f>H16</f>
        <v>100</v>
      </c>
      <c r="V16" s="631" t="s">
        <v>25</v>
      </c>
      <c r="W16" s="632">
        <f>J16</f>
        <v>100</v>
      </c>
      <c r="X16" s="1304"/>
      <c r="Y16" s="3599"/>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599"/>
      <c r="Q17" s="1303"/>
      <c r="R17" s="631"/>
      <c r="S17" s="632"/>
      <c r="T17" s="631"/>
      <c r="U17" s="632"/>
      <c r="V17" s="631"/>
      <c r="W17" s="632"/>
      <c r="X17" s="1304"/>
      <c r="Y17" s="3599"/>
      <c r="Z17" s="1305"/>
      <c r="AA17" s="1306">
        <v>1</v>
      </c>
      <c r="AB17" s="1306">
        <v>1</v>
      </c>
      <c r="AC17" s="1306">
        <v>1</v>
      </c>
    </row>
    <row r="18" spans="1:29" ht="41.4">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599"/>
      <c r="Q18" s="1303" t="str">
        <f>B18</f>
        <v>基础设施水平</v>
      </c>
      <c r="R18" s="631" t="s">
        <v>25</v>
      </c>
      <c r="S18" s="632">
        <f>F18</f>
        <v>100</v>
      </c>
      <c r="T18" s="631" t="s">
        <v>25</v>
      </c>
      <c r="U18" s="632">
        <f>H18</f>
        <v>100</v>
      </c>
      <c r="V18" s="631" t="s">
        <v>25</v>
      </c>
      <c r="W18" s="632">
        <f>J18</f>
        <v>100</v>
      </c>
      <c r="X18" s="1304"/>
      <c r="Y18" s="3599"/>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599"/>
      <c r="Q19" s="1303"/>
      <c r="R19" s="631"/>
      <c r="S19" s="632"/>
      <c r="T19" s="631"/>
      <c r="U19" s="632"/>
      <c r="V19" s="631"/>
      <c r="W19" s="632"/>
      <c r="X19" s="1304"/>
      <c r="Y19" s="3599"/>
      <c r="Z19" s="1305"/>
      <c r="AA19" s="1306">
        <v>1</v>
      </c>
      <c r="AB19" s="1306">
        <v>1</v>
      </c>
      <c r="AC19" s="1306">
        <v>1</v>
      </c>
    </row>
    <row r="20" spans="1:29" ht="55.2">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599"/>
      <c r="Q20" s="1303" t="str">
        <f>B20</f>
        <v>自然及人文环境</v>
      </c>
      <c r="R20" s="631" t="s">
        <v>25</v>
      </c>
      <c r="S20" s="632">
        <f>F20</f>
        <v>100</v>
      </c>
      <c r="T20" s="631" t="s">
        <v>25</v>
      </c>
      <c r="U20" s="632">
        <f>H20</f>
        <v>100</v>
      </c>
      <c r="V20" s="631" t="s">
        <v>25</v>
      </c>
      <c r="W20" s="632">
        <f>J20</f>
        <v>100</v>
      </c>
      <c r="X20" s="1304"/>
      <c r="Y20" s="3599"/>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599"/>
      <c r="Q21" s="1303"/>
      <c r="R21" s="631"/>
      <c r="S21" s="632"/>
      <c r="T21" s="631"/>
      <c r="U21" s="632"/>
      <c r="V21" s="631"/>
      <c r="W21" s="632"/>
      <c r="X21" s="1304"/>
      <c r="Y21" s="3599"/>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599"/>
      <c r="Q22" s="1303" t="str">
        <f>B22</f>
        <v>楼层</v>
      </c>
      <c r="R22" s="631" t="s">
        <v>25</v>
      </c>
      <c r="S22" s="632">
        <f>F22</f>
        <v>100</v>
      </c>
      <c r="T22" s="631" t="s">
        <v>25</v>
      </c>
      <c r="U22" s="632">
        <f>H22</f>
        <v>100</v>
      </c>
      <c r="V22" s="631" t="s">
        <v>25</v>
      </c>
      <c r="W22" s="632">
        <f>J22</f>
        <v>100</v>
      </c>
      <c r="X22" s="1304"/>
      <c r="Y22" s="3599"/>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599"/>
      <c r="Q23" s="1303">
        <f>B23</f>
        <v>111</v>
      </c>
      <c r="R23" s="631" t="s">
        <v>25</v>
      </c>
      <c r="S23" s="632">
        <f>F23</f>
        <v>100</v>
      </c>
      <c r="T23" s="631" t="s">
        <v>25</v>
      </c>
      <c r="U23" s="632">
        <f>H23</f>
        <v>100</v>
      </c>
      <c r="V23" s="631" t="s">
        <v>25</v>
      </c>
      <c r="W23" s="632">
        <f>J23</f>
        <v>100</v>
      </c>
      <c r="X23" s="1304"/>
      <c r="Y23" s="3599"/>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599"/>
      <c r="Q24" s="1303">
        <f t="shared" ref="Q24:Q36" si="11">B24</f>
        <v>111</v>
      </c>
      <c r="R24" s="631" t="s">
        <v>25</v>
      </c>
      <c r="S24" s="632">
        <f>F24</f>
        <v>100</v>
      </c>
      <c r="T24" s="631" t="s">
        <v>25</v>
      </c>
      <c r="U24" s="632">
        <f>H24</f>
        <v>100</v>
      </c>
      <c r="V24" s="631" t="s">
        <v>25</v>
      </c>
      <c r="W24" s="632">
        <f>J24</f>
        <v>100</v>
      </c>
      <c r="X24" s="1304"/>
      <c r="Y24" s="3599"/>
      <c r="Z24" s="1305">
        <f>Q24</f>
        <v>111</v>
      </c>
      <c r="AA24" s="1306">
        <f t="shared" si="3"/>
        <v>1</v>
      </c>
      <c r="AB24" s="1306">
        <f t="shared" si="4"/>
        <v>1</v>
      </c>
      <c r="AC24" s="1306">
        <f t="shared" si="5"/>
        <v>1</v>
      </c>
    </row>
    <row r="25" spans="1:29" s="25" customFormat="1" ht="15.6"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599"/>
      <c r="Q25" s="1296">
        <f t="shared" si="11"/>
        <v>111</v>
      </c>
      <c r="R25" s="627" t="s">
        <v>25</v>
      </c>
      <c r="S25" s="628">
        <f>F25</f>
        <v>100</v>
      </c>
      <c r="T25" s="627" t="s">
        <v>25</v>
      </c>
      <c r="U25" s="628">
        <f>H25</f>
        <v>100</v>
      </c>
      <c r="V25" s="627" t="s">
        <v>25</v>
      </c>
      <c r="W25" s="628">
        <f>J25</f>
        <v>100</v>
      </c>
      <c r="X25" s="629"/>
      <c r="Y25" s="3599"/>
      <c r="Z25" s="19">
        <f>Q25</f>
        <v>111</v>
      </c>
      <c r="AA25" s="1306">
        <f>D25/F25</f>
        <v>1</v>
      </c>
      <c r="AB25" s="1306">
        <f>D25/H25</f>
        <v>1</v>
      </c>
      <c r="AC25" s="1306">
        <f>D25/J25</f>
        <v>1</v>
      </c>
    </row>
    <row r="26" spans="1:29" ht="30">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586"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587"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587"/>
      <c r="Q27" s="633" t="str">
        <f t="shared" si="11"/>
        <v>项目停车位配比</v>
      </c>
      <c r="R27" s="634" t="s">
        <v>25</v>
      </c>
      <c r="S27" s="635">
        <f t="shared" si="12"/>
        <v>100</v>
      </c>
      <c r="T27" s="634" t="s">
        <v>25</v>
      </c>
      <c r="U27" s="635">
        <f t="shared" si="13"/>
        <v>100</v>
      </c>
      <c r="V27" s="634" t="s">
        <v>25</v>
      </c>
      <c r="W27" s="635">
        <f t="shared" si="14"/>
        <v>100</v>
      </c>
      <c r="X27" s="636"/>
      <c r="Y27" s="3587"/>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587"/>
      <c r="Q28" s="1303" t="str">
        <f t="shared" si="11"/>
        <v>公共部分装修</v>
      </c>
      <c r="R28" s="631" t="s">
        <v>25</v>
      </c>
      <c r="S28" s="632">
        <f t="shared" si="12"/>
        <v>100</v>
      </c>
      <c r="T28" s="631" t="s">
        <v>25</v>
      </c>
      <c r="U28" s="632">
        <f t="shared" si="13"/>
        <v>100</v>
      </c>
      <c r="V28" s="631" t="s">
        <v>25</v>
      </c>
      <c r="W28" s="632">
        <f t="shared" si="14"/>
        <v>100</v>
      </c>
      <c r="X28" s="1304"/>
      <c r="Y28" s="3587"/>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587"/>
      <c r="Q29" s="1303" t="str">
        <f t="shared" si="11"/>
        <v>成新率</v>
      </c>
      <c r="R29" s="631" t="s">
        <v>25</v>
      </c>
      <c r="S29" s="632" t="e">
        <f t="shared" si="12"/>
        <v>#N/A</v>
      </c>
      <c r="T29" s="631" t="s">
        <v>25</v>
      </c>
      <c r="U29" s="632" t="e">
        <f t="shared" si="13"/>
        <v>#N/A</v>
      </c>
      <c r="V29" s="631" t="s">
        <v>25</v>
      </c>
      <c r="W29" s="632" t="e">
        <f t="shared" si="14"/>
        <v>#N/A</v>
      </c>
      <c r="X29" s="1304"/>
      <c r="Y29" s="3587"/>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587"/>
      <c r="Q30" s="1303" t="str">
        <f t="shared" si="11"/>
        <v>物业等级</v>
      </c>
      <c r="R30" s="631" t="s">
        <v>25</v>
      </c>
      <c r="S30" s="632">
        <f t="shared" si="12"/>
        <v>100</v>
      </c>
      <c r="T30" s="631" t="s">
        <v>25</v>
      </c>
      <c r="U30" s="632">
        <f t="shared" si="13"/>
        <v>100</v>
      </c>
      <c r="V30" s="631" t="s">
        <v>25</v>
      </c>
      <c r="W30" s="632">
        <f t="shared" si="14"/>
        <v>100</v>
      </c>
      <c r="X30" s="1304"/>
      <c r="Y30" s="3587"/>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587"/>
      <c r="Q31" s="1296" t="str">
        <f t="shared" si="11"/>
        <v>停车位面积</v>
      </c>
      <c r="R31" s="627" t="s">
        <v>25</v>
      </c>
      <c r="S31" s="628" t="e">
        <f t="shared" si="12"/>
        <v>#N/A</v>
      </c>
      <c r="T31" s="627" t="s">
        <v>25</v>
      </c>
      <c r="U31" s="628" t="e">
        <f t="shared" si="13"/>
        <v>#N/A</v>
      </c>
      <c r="V31" s="627" t="s">
        <v>25</v>
      </c>
      <c r="W31" s="628" t="e">
        <f t="shared" si="14"/>
        <v>#N/A</v>
      </c>
      <c r="X31" s="629"/>
      <c r="Y31" s="358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587" t="s">
        <v>2219</v>
      </c>
      <c r="Q32" s="1303" t="str">
        <f t="shared" si="11"/>
        <v>车位类型</v>
      </c>
      <c r="R32" s="631" t="s">
        <v>25</v>
      </c>
      <c r="S32" s="632">
        <f t="shared" si="12"/>
        <v>100</v>
      </c>
      <c r="T32" s="631" t="s">
        <v>25</v>
      </c>
      <c r="U32" s="632">
        <f t="shared" si="13"/>
        <v>100</v>
      </c>
      <c r="V32" s="631" t="s">
        <v>25</v>
      </c>
      <c r="W32" s="632">
        <f t="shared" si="14"/>
        <v>100</v>
      </c>
      <c r="X32" s="1304"/>
      <c r="Y32" s="3587"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587"/>
      <c r="Q33" s="1303" t="str">
        <f t="shared" si="11"/>
        <v>是否直接入户</v>
      </c>
      <c r="R33" s="631" t="s">
        <v>25</v>
      </c>
      <c r="S33" s="632">
        <f t="shared" si="12"/>
        <v>100</v>
      </c>
      <c r="T33" s="631" t="s">
        <v>25</v>
      </c>
      <c r="U33" s="632">
        <f t="shared" si="13"/>
        <v>100</v>
      </c>
      <c r="V33" s="631" t="s">
        <v>25</v>
      </c>
      <c r="W33" s="632">
        <f t="shared" si="14"/>
        <v>100</v>
      </c>
      <c r="X33" s="1304"/>
      <c r="Y33" s="3587"/>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587"/>
      <c r="Q34" s="1303">
        <f t="shared" si="11"/>
        <v>111</v>
      </c>
      <c r="R34" s="631" t="s">
        <v>25</v>
      </c>
      <c r="S34" s="632">
        <f t="shared" si="12"/>
        <v>100</v>
      </c>
      <c r="T34" s="631" t="s">
        <v>25</v>
      </c>
      <c r="U34" s="632">
        <f t="shared" si="13"/>
        <v>100</v>
      </c>
      <c r="V34" s="631" t="s">
        <v>25</v>
      </c>
      <c r="W34" s="632">
        <f t="shared" si="14"/>
        <v>100</v>
      </c>
      <c r="X34" s="1304"/>
      <c r="Y34" s="3587"/>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587"/>
      <c r="Q35" s="633">
        <f t="shared" si="11"/>
        <v>111</v>
      </c>
      <c r="R35" s="634" t="s">
        <v>25</v>
      </c>
      <c r="S35" s="635">
        <f t="shared" si="12"/>
        <v>100</v>
      </c>
      <c r="T35" s="634" t="s">
        <v>25</v>
      </c>
      <c r="U35" s="635">
        <f t="shared" si="13"/>
        <v>100</v>
      </c>
      <c r="V35" s="634" t="s">
        <v>25</v>
      </c>
      <c r="W35" s="635">
        <f t="shared" si="14"/>
        <v>100</v>
      </c>
      <c r="X35" s="636"/>
      <c r="Y35" s="3587"/>
      <c r="Z35" s="637">
        <f t="shared" si="15"/>
        <v>111</v>
      </c>
      <c r="AA35" s="1306">
        <f t="shared" si="3"/>
        <v>1</v>
      </c>
      <c r="AB35" s="1306">
        <f t="shared" si="4"/>
        <v>1</v>
      </c>
      <c r="AC35" s="130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587"/>
      <c r="Q36" s="1303">
        <f t="shared" si="11"/>
        <v>111</v>
      </c>
      <c r="R36" s="631" t="s">
        <v>25</v>
      </c>
      <c r="S36" s="632">
        <f t="shared" si="12"/>
        <v>100</v>
      </c>
      <c r="T36" s="631" t="s">
        <v>25</v>
      </c>
      <c r="U36" s="632">
        <f t="shared" si="13"/>
        <v>100</v>
      </c>
      <c r="V36" s="631" t="s">
        <v>25</v>
      </c>
      <c r="W36" s="632">
        <f t="shared" si="14"/>
        <v>100</v>
      </c>
      <c r="X36" s="1304"/>
      <c r="Y36" s="3587"/>
      <c r="Z36" s="1305">
        <f t="shared" si="15"/>
        <v>111</v>
      </c>
      <c r="AA36" s="1306">
        <f t="shared" si="3"/>
        <v>1</v>
      </c>
      <c r="AB36" s="1306">
        <f t="shared" si="4"/>
        <v>1</v>
      </c>
      <c r="AC36" s="1306">
        <f t="shared" si="5"/>
        <v>1</v>
      </c>
    </row>
    <row r="37" spans="1:29" ht="14.4">
      <c r="A37" s="367" t="s">
        <v>2361</v>
      </c>
      <c r="B37" s="840" t="s">
        <v>2362</v>
      </c>
      <c r="C37" s="1123" t="s">
        <v>1</v>
      </c>
      <c r="D37" s="1124"/>
      <c r="E37" s="1125"/>
      <c r="F37" s="1126"/>
      <c r="G37" s="1127"/>
      <c r="H37" s="1128"/>
      <c r="I37" s="1125"/>
      <c r="J37" s="1128"/>
      <c r="K37" s="503"/>
      <c r="L37" s="3004"/>
      <c r="N37" s="2993"/>
      <c r="P37" s="3581" t="str">
        <f>A37</f>
        <v>成交单价</v>
      </c>
      <c r="Q37" s="3581"/>
      <c r="R37" s="3582">
        <f>E37</f>
        <v>0</v>
      </c>
      <c r="S37" s="3582"/>
      <c r="T37" s="3582">
        <f>G37</f>
        <v>0</v>
      </c>
      <c r="U37" s="3582"/>
      <c r="V37" s="3582">
        <f>I37</f>
        <v>0</v>
      </c>
      <c r="W37" s="3582"/>
      <c r="X37" s="618"/>
      <c r="Y37" s="638"/>
      <c r="Z37" s="618"/>
      <c r="AA37" s="618"/>
      <c r="AB37" s="618"/>
      <c r="AC37" s="618"/>
    </row>
    <row r="38" spans="1:29" ht="15" thickBot="1">
      <c r="A38" s="374" t="s">
        <v>2363</v>
      </c>
      <c r="B38" s="375" t="str">
        <f>B37</f>
        <v>元/平方米</v>
      </c>
      <c r="C38" s="1129" t="e">
        <f>R39</f>
        <v>#DIV/0!</v>
      </c>
      <c r="D38" s="1766" t="s">
        <v>2687</v>
      </c>
      <c r="E38" s="1130" t="e">
        <f>R38</f>
        <v>#DIV/0!</v>
      </c>
      <c r="F38" s="1768"/>
      <c r="G38" s="1129" t="e">
        <f>T38</f>
        <v>#DIV/0!</v>
      </c>
      <c r="H38" s="1768"/>
      <c r="I38" s="1130" t="e">
        <f>V38</f>
        <v>#DIV/0!</v>
      </c>
      <c r="J38" s="1768"/>
      <c r="K38" s="2480">
        <f>F38+H38+J38</f>
        <v>0</v>
      </c>
      <c r="L38" s="3004"/>
      <c r="P38" s="3581" t="str">
        <f>A38</f>
        <v>比较价值</v>
      </c>
      <c r="Q38" s="3581"/>
      <c r="R38" s="3582" t="e">
        <f>IF(E1="售价",ROUND(PRODUCT(R37,AA7:AA36),0),ROUND(PRODUCT(R37,AA7:AA36),1))</f>
        <v>#DIV/0!</v>
      </c>
      <c r="S38" s="3582"/>
      <c r="T38" s="3582" t="e">
        <f>IF(E1="售价",ROUND(PRODUCT(T37,AB7:AB36),0),ROUND(PRODUCT(T37,AB7:AB36),1))</f>
        <v>#DIV/0!</v>
      </c>
      <c r="U38" s="3582"/>
      <c r="V38" s="3582" t="e">
        <f>IF(E1="售价",ROUND(PRODUCT(V37,AC7:AC36),0),ROUND(PRODUCT(V37,AC7:AC36),1))</f>
        <v>#DIV/0!</v>
      </c>
      <c r="W38" s="3582"/>
      <c r="X38" s="618"/>
      <c r="Y38" s="618"/>
      <c r="Z38" s="618"/>
      <c r="AA38" s="618"/>
      <c r="AB38" s="618"/>
      <c r="AC38" s="618"/>
    </row>
    <row r="39" spans="1:29" ht="15" thickBot="1">
      <c r="A39" s="378" t="s">
        <v>2364</v>
      </c>
      <c r="B39" s="379"/>
      <c r="C39" s="1131" t="e">
        <f>R39</f>
        <v>#DIV/0!</v>
      </c>
      <c r="D39" s="1131"/>
      <c r="E39" s="1131"/>
      <c r="F39" s="1131"/>
      <c r="G39" s="1131"/>
      <c r="H39" s="1131"/>
      <c r="I39" s="1131"/>
      <c r="J39" s="1131"/>
      <c r="K39" s="504"/>
      <c r="L39" s="3004"/>
      <c r="P39" s="3583" t="str">
        <f>A39</f>
        <v>估价对象XX用房的比较价值（楼面单价，元/平方米）</v>
      </c>
      <c r="Q39" s="3584"/>
      <c r="R39" s="3585" t="e">
        <f>IF(E1="售价",ROUND(IF(D38="简单平均",AVERAGE(R38:W38),R38*F38+T38*H38+V38*J38),0),ROUND(IF(D38="简单平均",AVERAGE(R38:V38),R38*F38+T38*H38+V38*J38),1))</f>
        <v>#DIV/0!</v>
      </c>
      <c r="S39" s="3585"/>
      <c r="T39" s="3585"/>
      <c r="U39" s="3585"/>
      <c r="V39" s="3585"/>
      <c r="W39" s="3585"/>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2.2"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4.4">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c r="A49" s="395"/>
      <c r="B49" s="396"/>
      <c r="C49" s="1156">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589" t="s">
        <v>2202</v>
      </c>
      <c r="Q7" s="3597"/>
      <c r="R7" s="627" t="s">
        <v>25</v>
      </c>
      <c r="S7" s="628">
        <f t="shared" ref="S7:S14" si="0">F7</f>
        <v>0</v>
      </c>
      <c r="T7" s="627" t="s">
        <v>25</v>
      </c>
      <c r="U7" s="628">
        <f t="shared" ref="U7:U14" si="1">H7</f>
        <v>0</v>
      </c>
      <c r="V7" s="627" t="s">
        <v>25</v>
      </c>
      <c r="W7" s="628">
        <f t="shared" ref="W7:W14" si="2">J7</f>
        <v>0</v>
      </c>
      <c r="X7" s="629"/>
      <c r="Y7" s="3589" t="s">
        <v>2202</v>
      </c>
      <c r="Z7" s="3590"/>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581" t="s">
        <v>2208</v>
      </c>
      <c r="Q9" s="1296" t="str">
        <f t="shared" ref="Q9:Q14" si="6">B9</f>
        <v>用途</v>
      </c>
      <c r="R9" s="627" t="s">
        <v>25</v>
      </c>
      <c r="S9" s="628">
        <f t="shared" si="0"/>
        <v>100</v>
      </c>
      <c r="T9" s="627" t="s">
        <v>25</v>
      </c>
      <c r="U9" s="628">
        <f t="shared" si="1"/>
        <v>100</v>
      </c>
      <c r="V9" s="627" t="s">
        <v>25</v>
      </c>
      <c r="W9" s="628">
        <f t="shared" si="2"/>
        <v>100</v>
      </c>
      <c r="X9" s="629"/>
      <c r="Y9" s="3600"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581"/>
      <c r="Q11" s="1296">
        <f t="shared" si="6"/>
        <v>111</v>
      </c>
      <c r="R11" s="627" t="s">
        <v>25</v>
      </c>
      <c r="S11" s="628">
        <f t="shared" si="0"/>
        <v>100</v>
      </c>
      <c r="T11" s="627" t="s">
        <v>25</v>
      </c>
      <c r="U11" s="628">
        <f t="shared" si="1"/>
        <v>100</v>
      </c>
      <c r="V11" s="627" t="s">
        <v>25</v>
      </c>
      <c r="W11" s="628">
        <f t="shared" si="2"/>
        <v>100</v>
      </c>
      <c r="X11" s="629"/>
      <c r="Y11" s="3600"/>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6"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96.6">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598" t="s">
        <v>2213</v>
      </c>
      <c r="Q14" s="1303" t="str">
        <f t="shared" si="6"/>
        <v>交通便捷度</v>
      </c>
      <c r="R14" s="631" t="s">
        <v>25</v>
      </c>
      <c r="S14" s="632">
        <f t="shared" si="0"/>
        <v>100</v>
      </c>
      <c r="T14" s="631" t="s">
        <v>25</v>
      </c>
      <c r="U14" s="632">
        <f t="shared" si="1"/>
        <v>100</v>
      </c>
      <c r="V14" s="631" t="s">
        <v>25</v>
      </c>
      <c r="W14" s="632">
        <f t="shared" si="2"/>
        <v>100</v>
      </c>
      <c r="X14" s="1304"/>
      <c r="Y14" s="3598"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599"/>
      <c r="Q15" s="1303"/>
      <c r="R15" s="631"/>
      <c r="S15" s="632"/>
      <c r="T15" s="631"/>
      <c r="U15" s="632"/>
      <c r="V15" s="631"/>
      <c r="W15" s="632"/>
      <c r="X15" s="1304"/>
      <c r="Y15" s="3599"/>
      <c r="Z15" s="1305"/>
      <c r="AA15" s="1306">
        <v>1</v>
      </c>
      <c r="AB15" s="1306">
        <v>1</v>
      </c>
      <c r="AC15" s="1306">
        <v>1</v>
      </c>
    </row>
    <row r="16" spans="1:29" ht="41.4">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599"/>
      <c r="Q16" s="1303" t="str">
        <f>B16</f>
        <v>公共配套设施</v>
      </c>
      <c r="R16" s="631" t="s">
        <v>25</v>
      </c>
      <c r="S16" s="632">
        <f>F16</f>
        <v>100</v>
      </c>
      <c r="T16" s="631" t="s">
        <v>25</v>
      </c>
      <c r="U16" s="632">
        <f>H16</f>
        <v>100</v>
      </c>
      <c r="V16" s="631" t="s">
        <v>25</v>
      </c>
      <c r="W16" s="632">
        <f>J16</f>
        <v>100</v>
      </c>
      <c r="X16" s="1304"/>
      <c r="Y16" s="3599"/>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599"/>
      <c r="Q17" s="1303"/>
      <c r="R17" s="631"/>
      <c r="S17" s="632"/>
      <c r="T17" s="631"/>
      <c r="U17" s="632"/>
      <c r="V17" s="631"/>
      <c r="W17" s="632"/>
      <c r="X17" s="1304"/>
      <c r="Y17" s="3599"/>
      <c r="Z17" s="1305"/>
      <c r="AA17" s="1306">
        <v>1</v>
      </c>
      <c r="AB17" s="1306">
        <v>1</v>
      </c>
      <c r="AC17" s="1306">
        <v>1</v>
      </c>
    </row>
    <row r="18" spans="1:29" ht="41.4">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599"/>
      <c r="Q18" s="1303" t="str">
        <f>B18</f>
        <v>基础设施水平</v>
      </c>
      <c r="R18" s="631" t="s">
        <v>25</v>
      </c>
      <c r="S18" s="632">
        <f>F18</f>
        <v>100</v>
      </c>
      <c r="T18" s="631" t="s">
        <v>25</v>
      </c>
      <c r="U18" s="632">
        <f>H18</f>
        <v>100</v>
      </c>
      <c r="V18" s="631" t="s">
        <v>25</v>
      </c>
      <c r="W18" s="632">
        <f>J18</f>
        <v>100</v>
      </c>
      <c r="X18" s="1304"/>
      <c r="Y18" s="3599"/>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599"/>
      <c r="Q19" s="1303"/>
      <c r="R19" s="631"/>
      <c r="S19" s="632"/>
      <c r="T19" s="631"/>
      <c r="U19" s="632"/>
      <c r="V19" s="631"/>
      <c r="W19" s="632"/>
      <c r="X19" s="1304"/>
      <c r="Y19" s="3599"/>
      <c r="Z19" s="1305"/>
      <c r="AA19" s="1306">
        <v>1</v>
      </c>
      <c r="AB19" s="1306">
        <v>1</v>
      </c>
      <c r="AC19" s="1306">
        <v>1</v>
      </c>
    </row>
    <row r="20" spans="1:29" ht="55.2">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599"/>
      <c r="Q20" s="1303" t="str">
        <f>B20</f>
        <v>自然及人文环境</v>
      </c>
      <c r="R20" s="631" t="s">
        <v>25</v>
      </c>
      <c r="S20" s="632">
        <f>F20</f>
        <v>100</v>
      </c>
      <c r="T20" s="631" t="s">
        <v>25</v>
      </c>
      <c r="U20" s="632">
        <f>H20</f>
        <v>100</v>
      </c>
      <c r="V20" s="631" t="s">
        <v>25</v>
      </c>
      <c r="W20" s="632">
        <f>J20</f>
        <v>100</v>
      </c>
      <c r="X20" s="1304"/>
      <c r="Y20" s="3599"/>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599"/>
      <c r="Q21" s="1303"/>
      <c r="R21" s="631"/>
      <c r="S21" s="632"/>
      <c r="T21" s="631"/>
      <c r="U21" s="632"/>
      <c r="V21" s="631"/>
      <c r="W21" s="632"/>
      <c r="X21" s="1304"/>
      <c r="Y21" s="3599"/>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599"/>
      <c r="Q22" s="1303" t="str">
        <f>B22</f>
        <v>楼层</v>
      </c>
      <c r="R22" s="631" t="s">
        <v>25</v>
      </c>
      <c r="S22" s="632">
        <f>F22</f>
        <v>100</v>
      </c>
      <c r="T22" s="631" t="s">
        <v>25</v>
      </c>
      <c r="U22" s="632">
        <f>H22</f>
        <v>100</v>
      </c>
      <c r="V22" s="631" t="s">
        <v>25</v>
      </c>
      <c r="W22" s="632">
        <f>J22</f>
        <v>100</v>
      </c>
      <c r="X22" s="1304"/>
      <c r="Y22" s="3599"/>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599"/>
      <c r="Q23" s="1303">
        <f>B23</f>
        <v>111</v>
      </c>
      <c r="R23" s="631" t="s">
        <v>25</v>
      </c>
      <c r="S23" s="632">
        <f>F23</f>
        <v>100</v>
      </c>
      <c r="T23" s="631" t="s">
        <v>25</v>
      </c>
      <c r="U23" s="632">
        <f>H23</f>
        <v>100</v>
      </c>
      <c r="V23" s="631" t="s">
        <v>25</v>
      </c>
      <c r="W23" s="632">
        <f>J23</f>
        <v>100</v>
      </c>
      <c r="X23" s="1304"/>
      <c r="Y23" s="3599"/>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599"/>
      <c r="Q24" s="1303">
        <f t="shared" ref="Q24:Q34" si="11">B24</f>
        <v>111</v>
      </c>
      <c r="R24" s="631" t="s">
        <v>25</v>
      </c>
      <c r="S24" s="632">
        <f>F24</f>
        <v>100</v>
      </c>
      <c r="T24" s="631" t="s">
        <v>25</v>
      </c>
      <c r="U24" s="632">
        <f>H24</f>
        <v>100</v>
      </c>
      <c r="V24" s="631" t="s">
        <v>25</v>
      </c>
      <c r="W24" s="632">
        <f>J24</f>
        <v>100</v>
      </c>
      <c r="X24" s="1304"/>
      <c r="Y24" s="3599"/>
      <c r="Z24" s="1305">
        <f>Q24</f>
        <v>111</v>
      </c>
      <c r="AA24" s="1306">
        <f t="shared" si="3"/>
        <v>1</v>
      </c>
      <c r="AB24" s="1306">
        <f t="shared" si="4"/>
        <v>1</v>
      </c>
      <c r="AC24" s="1306">
        <f t="shared" si="5"/>
        <v>1</v>
      </c>
    </row>
    <row r="25" spans="1:29" s="25" customFormat="1" ht="15.6"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599"/>
      <c r="Q25" s="1296">
        <f t="shared" si="11"/>
        <v>111</v>
      </c>
      <c r="R25" s="627" t="s">
        <v>25</v>
      </c>
      <c r="S25" s="628">
        <f>F25</f>
        <v>100</v>
      </c>
      <c r="T25" s="627" t="s">
        <v>25</v>
      </c>
      <c r="U25" s="628">
        <f>H25</f>
        <v>100</v>
      </c>
      <c r="V25" s="627" t="s">
        <v>25</v>
      </c>
      <c r="W25" s="628">
        <f>J25</f>
        <v>100</v>
      </c>
      <c r="X25" s="629"/>
      <c r="Y25" s="3599"/>
      <c r="Z25" s="19">
        <f>Q25</f>
        <v>111</v>
      </c>
      <c r="AA25" s="1306">
        <f>D25/F25</f>
        <v>1</v>
      </c>
      <c r="AB25" s="1306">
        <f>D25/H25</f>
        <v>1</v>
      </c>
      <c r="AC25" s="1306">
        <f>D25/J25</f>
        <v>1</v>
      </c>
    </row>
    <row r="26" spans="1:29" ht="30">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586"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587"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587"/>
      <c r="Q27" s="633" t="str">
        <f t="shared" si="11"/>
        <v>成新率</v>
      </c>
      <c r="R27" s="634" t="s">
        <v>25</v>
      </c>
      <c r="S27" s="635" t="e">
        <f t="shared" si="12"/>
        <v>#N/A</v>
      </c>
      <c r="T27" s="634" t="s">
        <v>25</v>
      </c>
      <c r="U27" s="635" t="e">
        <f t="shared" si="13"/>
        <v>#N/A</v>
      </c>
      <c r="V27" s="634" t="s">
        <v>25</v>
      </c>
      <c r="W27" s="635" t="e">
        <f t="shared" si="14"/>
        <v>#N/A</v>
      </c>
      <c r="X27" s="636"/>
      <c r="Y27" s="3587"/>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587"/>
      <c r="Q28" s="1303" t="str">
        <f t="shared" si="11"/>
        <v>物业等级</v>
      </c>
      <c r="R28" s="631" t="s">
        <v>25</v>
      </c>
      <c r="S28" s="632">
        <f t="shared" si="12"/>
        <v>100</v>
      </c>
      <c r="T28" s="631" t="s">
        <v>25</v>
      </c>
      <c r="U28" s="632">
        <f t="shared" si="13"/>
        <v>100</v>
      </c>
      <c r="V28" s="631" t="s">
        <v>25</v>
      </c>
      <c r="W28" s="632">
        <f t="shared" si="14"/>
        <v>100</v>
      </c>
      <c r="X28" s="1304"/>
      <c r="Y28" s="3587"/>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587"/>
      <c r="Q29" s="1303" t="str">
        <f t="shared" si="11"/>
        <v>有无电梯</v>
      </c>
      <c r="R29" s="631" t="s">
        <v>25</v>
      </c>
      <c r="S29" s="632">
        <f t="shared" si="12"/>
        <v>100</v>
      </c>
      <c r="T29" s="631" t="s">
        <v>25</v>
      </c>
      <c r="U29" s="632">
        <f t="shared" si="13"/>
        <v>100</v>
      </c>
      <c r="V29" s="631" t="s">
        <v>25</v>
      </c>
      <c r="W29" s="632">
        <f t="shared" si="14"/>
        <v>100</v>
      </c>
      <c r="X29" s="1304"/>
      <c r="Y29" s="3587"/>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587"/>
      <c r="Q30" s="1303" t="str">
        <f t="shared" si="11"/>
        <v>建筑面积</v>
      </c>
      <c r="R30" s="631" t="s">
        <v>25</v>
      </c>
      <c r="S30" s="632" t="e">
        <f t="shared" si="12"/>
        <v>#N/A</v>
      </c>
      <c r="T30" s="631" t="s">
        <v>25</v>
      </c>
      <c r="U30" s="632" t="e">
        <f t="shared" si="13"/>
        <v>#N/A</v>
      </c>
      <c r="V30" s="631" t="s">
        <v>25</v>
      </c>
      <c r="W30" s="632" t="e">
        <f t="shared" si="14"/>
        <v>#N/A</v>
      </c>
      <c r="X30" s="1304"/>
      <c r="Y30" s="3587"/>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587"/>
      <c r="Q31" s="1296" t="str">
        <f t="shared" si="11"/>
        <v>是否封闭</v>
      </c>
      <c r="R31" s="627" t="s">
        <v>25</v>
      </c>
      <c r="S31" s="628">
        <f t="shared" si="12"/>
        <v>100</v>
      </c>
      <c r="T31" s="627" t="s">
        <v>25</v>
      </c>
      <c r="U31" s="628">
        <f t="shared" si="13"/>
        <v>100</v>
      </c>
      <c r="V31" s="627" t="s">
        <v>25</v>
      </c>
      <c r="W31" s="628">
        <f t="shared" si="14"/>
        <v>100</v>
      </c>
      <c r="X31" s="629"/>
      <c r="Y31" s="3587"/>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587" t="s">
        <v>2219</v>
      </c>
      <c r="Q32" s="1303">
        <f t="shared" si="11"/>
        <v>111</v>
      </c>
      <c r="R32" s="631" t="s">
        <v>25</v>
      </c>
      <c r="S32" s="632">
        <f t="shared" si="12"/>
        <v>100</v>
      </c>
      <c r="T32" s="631" t="s">
        <v>25</v>
      </c>
      <c r="U32" s="632">
        <f t="shared" si="13"/>
        <v>100</v>
      </c>
      <c r="V32" s="631" t="s">
        <v>25</v>
      </c>
      <c r="W32" s="632">
        <f t="shared" si="14"/>
        <v>100</v>
      </c>
      <c r="X32" s="1304"/>
      <c r="Y32" s="3587"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587"/>
      <c r="Q33" s="1303">
        <f t="shared" si="11"/>
        <v>111</v>
      </c>
      <c r="R33" s="631" t="s">
        <v>25</v>
      </c>
      <c r="S33" s="632">
        <f t="shared" si="12"/>
        <v>100</v>
      </c>
      <c r="T33" s="631" t="s">
        <v>25</v>
      </c>
      <c r="U33" s="632">
        <f t="shared" si="13"/>
        <v>100</v>
      </c>
      <c r="V33" s="631" t="s">
        <v>25</v>
      </c>
      <c r="W33" s="632">
        <f t="shared" si="14"/>
        <v>100</v>
      </c>
      <c r="X33" s="1304"/>
      <c r="Y33" s="3587"/>
      <c r="Z33" s="1305">
        <f t="shared" si="15"/>
        <v>111</v>
      </c>
      <c r="AA33" s="1306">
        <f t="shared" si="3"/>
        <v>1</v>
      </c>
      <c r="AB33" s="1306">
        <f t="shared" si="4"/>
        <v>1</v>
      </c>
      <c r="AC33" s="1306">
        <f t="shared" si="5"/>
        <v>1</v>
      </c>
    </row>
    <row r="34" spans="1:29" ht="15.6"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587"/>
      <c r="Q34" s="1303">
        <f t="shared" si="11"/>
        <v>111</v>
      </c>
      <c r="R34" s="631" t="s">
        <v>25</v>
      </c>
      <c r="S34" s="632">
        <f t="shared" si="12"/>
        <v>100</v>
      </c>
      <c r="T34" s="631" t="s">
        <v>25</v>
      </c>
      <c r="U34" s="632">
        <f t="shared" si="13"/>
        <v>100</v>
      </c>
      <c r="V34" s="631" t="s">
        <v>25</v>
      </c>
      <c r="W34" s="632">
        <f t="shared" si="14"/>
        <v>100</v>
      </c>
      <c r="X34" s="1304"/>
      <c r="Y34" s="3587"/>
      <c r="Z34" s="1305">
        <f t="shared" si="15"/>
        <v>111</v>
      </c>
      <c r="AA34" s="1306">
        <f t="shared" si="3"/>
        <v>1</v>
      </c>
      <c r="AB34" s="1306">
        <f t="shared" si="4"/>
        <v>1</v>
      </c>
      <c r="AC34" s="1306">
        <f t="shared" si="5"/>
        <v>1</v>
      </c>
    </row>
    <row r="35" spans="1:29" ht="14.4">
      <c r="A35" s="367" t="s">
        <v>2231</v>
      </c>
      <c r="B35" s="368"/>
      <c r="C35" s="1123" t="s">
        <v>1</v>
      </c>
      <c r="D35" s="1124"/>
      <c r="E35" s="1125"/>
      <c r="F35" s="1126"/>
      <c r="G35" s="1127"/>
      <c r="H35" s="1128"/>
      <c r="I35" s="1125"/>
      <c r="J35" s="1128"/>
      <c r="K35" s="640"/>
      <c r="L35" s="3004"/>
      <c r="N35" s="2993"/>
      <c r="P35" s="3581" t="str">
        <f>A35</f>
        <v>成交单价（元/平方米）</v>
      </c>
      <c r="Q35" s="3581"/>
      <c r="R35" s="3582">
        <f>E35</f>
        <v>0</v>
      </c>
      <c r="S35" s="3582"/>
      <c r="T35" s="3582">
        <f>G35</f>
        <v>0</v>
      </c>
      <c r="U35" s="3582"/>
      <c r="V35" s="3582">
        <f>I35</f>
        <v>0</v>
      </c>
      <c r="W35" s="3582"/>
      <c r="X35" s="618"/>
      <c r="Y35" s="638"/>
      <c r="Z35" s="618"/>
      <c r="AA35" s="618"/>
      <c r="AB35" s="618"/>
      <c r="AC35" s="618"/>
    </row>
    <row r="36" spans="1:29" ht="15" thickBot="1">
      <c r="A36" s="374" t="s">
        <v>2314</v>
      </c>
      <c r="B36" s="375"/>
      <c r="C36" s="1129" t="e">
        <f>R37</f>
        <v>#DIV/0!</v>
      </c>
      <c r="D36" s="1766" t="s">
        <v>2687</v>
      </c>
      <c r="E36" s="1130" t="e">
        <f>R36</f>
        <v>#DIV/0!</v>
      </c>
      <c r="F36" s="1768"/>
      <c r="G36" s="1129" t="e">
        <f>T36</f>
        <v>#DIV/0!</v>
      </c>
      <c r="H36" s="1768"/>
      <c r="I36" s="1130" t="e">
        <f>V36</f>
        <v>#DIV/0!</v>
      </c>
      <c r="J36" s="1768"/>
      <c r="K36" s="2480">
        <f>F36+H36+J36</f>
        <v>0</v>
      </c>
      <c r="L36" s="3004"/>
      <c r="N36" s="2993"/>
      <c r="P36" s="3581" t="str">
        <f>A36</f>
        <v>比较价值（元/平方米）</v>
      </c>
      <c r="Q36" s="3581"/>
      <c r="R36" s="3582" t="e">
        <f>IF(E1="售价",ROUND(PRODUCT(R35,AA7:AA34),0),ROUND(PRODUCT(R35,AA7:AA34),1))</f>
        <v>#DIV/0!</v>
      </c>
      <c r="S36" s="3582"/>
      <c r="T36" s="3582" t="e">
        <f>IF(E1="售价",ROUND(PRODUCT(T35,AB7:AB34),0),ROUND(PRODUCT(T35,AB7:AB34),1))</f>
        <v>#DIV/0!</v>
      </c>
      <c r="U36" s="3582"/>
      <c r="V36" s="3582" t="e">
        <f>IF(E1="售价",ROUND(PRODUCT(V35,AC7:AC34),0),ROUND(PRODUCT(V35,AC7:AC34),1))</f>
        <v>#DIV/0!</v>
      </c>
      <c r="W36" s="3582"/>
      <c r="X36" s="618"/>
      <c r="Y36" s="618"/>
      <c r="Z36" s="618"/>
      <c r="AA36" s="618"/>
      <c r="AB36" s="618"/>
      <c r="AC36" s="618"/>
    </row>
    <row r="37" spans="1:29" ht="15" thickBot="1">
      <c r="A37" s="378" t="s">
        <v>2337</v>
      </c>
      <c r="B37" s="379"/>
      <c r="C37" s="1131" t="e">
        <f>R37</f>
        <v>#DIV/0!</v>
      </c>
      <c r="D37" s="1131"/>
      <c r="E37" s="1131"/>
      <c r="F37" s="1131"/>
      <c r="G37" s="1131"/>
      <c r="H37" s="1131"/>
      <c r="I37" s="1131"/>
      <c r="J37" s="1131"/>
      <c r="K37" s="641"/>
      <c r="L37" s="3004"/>
      <c r="P37" s="3583" t="str">
        <f>A37</f>
        <v>估价对象XX用房的比较价值（楼面单价，元/平方米）</v>
      </c>
      <c r="Q37" s="3584"/>
      <c r="R37" s="3585" t="e">
        <f>IF(E1="售价",ROUND(IF(D36="简单平均",AVERAGE(R36:W36),R36*F36+T36*H36+V36*J36),0),ROUND(IF(D36="简单平均",AVERAGE(R36:V36),R36*F36+T36*H36+V36*J36),1))</f>
        <v>#DIV/0!</v>
      </c>
      <c r="S37" s="3585"/>
      <c r="T37" s="3585"/>
      <c r="U37" s="3585"/>
      <c r="V37" s="3585"/>
      <c r="W37" s="3585"/>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2.2" thickBot="1">
      <c r="A45" s="620" t="s">
        <v>2319</v>
      </c>
      <c r="B45" s="618"/>
      <c r="C45" s="621"/>
      <c r="D45" s="621"/>
      <c r="E45" s="621"/>
      <c r="F45" s="622"/>
      <c r="G45" s="622"/>
      <c r="H45" s="621"/>
      <c r="I45" s="621"/>
      <c r="J45" s="621"/>
      <c r="K45" s="623"/>
      <c r="L45" s="624"/>
      <c r="M45" s="621"/>
      <c r="N45" s="3010"/>
      <c r="O45" s="3010"/>
      <c r="P45" s="389"/>
      <c r="Q45" s="390"/>
    </row>
    <row r="46" spans="1:29" s="394" customFormat="1" ht="14.4">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c r="A47" s="395"/>
      <c r="B47" s="396"/>
      <c r="C47" s="1156">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1635"/>
      <c r="Y4" s="3633" t="s">
        <v>2194</v>
      </c>
      <c r="Z4" s="3634"/>
      <c r="AA4" s="3642" t="s">
        <v>2190</v>
      </c>
      <c r="AB4" s="3643" t="s">
        <v>2191</v>
      </c>
      <c r="AC4" s="3642" t="s">
        <v>2192</v>
      </c>
    </row>
    <row r="5" spans="1:30">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1635"/>
      <c r="Y5" s="3635"/>
      <c r="Z5" s="3636"/>
      <c r="AA5" s="3643"/>
      <c r="AB5" s="3643"/>
      <c r="AC5" s="3643"/>
    </row>
    <row r="6" spans="1:30"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1635"/>
      <c r="Y6" s="3637"/>
      <c r="Z6" s="3638"/>
      <c r="AA6" s="3644"/>
      <c r="AB6" s="3644"/>
      <c r="AC6" s="3644"/>
    </row>
    <row r="7" spans="1:30" s="1654" customFormat="1" ht="1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631" t="s">
        <v>2202</v>
      </c>
      <c r="Q7" s="3639"/>
      <c r="R7" s="1650" t="s">
        <v>25</v>
      </c>
      <c r="S7" s="1651">
        <f t="shared" ref="S7:S15" si="0">F7</f>
        <v>0</v>
      </c>
      <c r="T7" s="1650" t="s">
        <v>25</v>
      </c>
      <c r="U7" s="1651">
        <f t="shared" ref="U7:U15" si="1">H7</f>
        <v>0</v>
      </c>
      <c r="V7" s="1650" t="s">
        <v>25</v>
      </c>
      <c r="W7" s="1651">
        <f t="shared" ref="W7:W15" si="2">J7</f>
        <v>0</v>
      </c>
      <c r="X7" s="1652"/>
      <c r="Y7" s="3631" t="s">
        <v>2202</v>
      </c>
      <c r="Z7" s="3632"/>
      <c r="AA7" s="1653" t="e">
        <f>D7/F7</f>
        <v>#DIV/0!</v>
      </c>
      <c r="AB7" s="1653" t="e">
        <f>D7/H7</f>
        <v>#DIV/0!</v>
      </c>
      <c r="AC7" s="1653" t="e">
        <f>D7/J7</f>
        <v>#DIV/0!</v>
      </c>
    </row>
    <row r="8" spans="1:30" s="1654" customFormat="1" ht="1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631" t="s">
        <v>2205</v>
      </c>
      <c r="Q8" s="3632"/>
      <c r="R8" s="1650" t="s">
        <v>25</v>
      </c>
      <c r="S8" s="1651">
        <f t="shared" si="0"/>
        <v>0</v>
      </c>
      <c r="T8" s="1650" t="s">
        <v>25</v>
      </c>
      <c r="U8" s="1651">
        <f t="shared" si="1"/>
        <v>0</v>
      </c>
      <c r="V8" s="1650" t="s">
        <v>25</v>
      </c>
      <c r="W8" s="1651">
        <f t="shared" si="2"/>
        <v>0</v>
      </c>
      <c r="X8" s="1652"/>
      <c r="Y8" s="3631" t="s">
        <v>2205</v>
      </c>
      <c r="Z8" s="3632"/>
      <c r="AA8" s="1653" t="e">
        <f t="shared" ref="AA8:AA45" si="3">D8/F8</f>
        <v>#DIV/0!</v>
      </c>
      <c r="AB8" s="1653" t="e">
        <f t="shared" ref="AB8:AB45" si="4">D8/H8</f>
        <v>#DIV/0!</v>
      </c>
      <c r="AC8" s="1653" t="e">
        <f t="shared" ref="AC8:AC45" si="5">D8/J8</f>
        <v>#DIV/0!</v>
      </c>
    </row>
    <row r="9" spans="1:30" s="1654" customFormat="1" ht="14.4">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623" t="s">
        <v>2208</v>
      </c>
      <c r="Q9" s="1604"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30" s="1671" customFormat="1" ht="28.8">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6"/>
      <c r="M10" s="2967"/>
      <c r="N10" s="2967"/>
      <c r="O10" s="3012"/>
      <c r="P10" s="3623"/>
      <c r="Q10" s="1604" t="str">
        <f t="shared" si="6"/>
        <v>土地使用年限（年）</v>
      </c>
      <c r="R10" s="1650" t="s">
        <v>25</v>
      </c>
      <c r="S10" s="1651">
        <f t="shared" si="0"/>
        <v>110</v>
      </c>
      <c r="T10" s="1650" t="s">
        <v>25</v>
      </c>
      <c r="U10" s="1651">
        <f t="shared" si="1"/>
        <v>110</v>
      </c>
      <c r="V10" s="1650" t="s">
        <v>25</v>
      </c>
      <c r="W10" s="1651">
        <f t="shared" si="2"/>
        <v>110</v>
      </c>
      <c r="X10" s="1652"/>
      <c r="Y10" s="3449"/>
      <c r="Z10" s="1663" t="str">
        <f t="shared" si="7"/>
        <v>土地使用年限（年）</v>
      </c>
      <c r="AA10" s="1653">
        <f t="shared" si="3"/>
        <v>0.90909090909090906</v>
      </c>
      <c r="AB10" s="1653">
        <f t="shared" si="4"/>
        <v>0.90909090909090906</v>
      </c>
      <c r="AC10" s="1653">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623"/>
      <c r="Q11" s="1604" t="str">
        <f t="shared" si="6"/>
        <v>容积率</v>
      </c>
      <c r="R11" s="1650" t="s">
        <v>25</v>
      </c>
      <c r="S11" s="1651" t="e">
        <f t="shared" si="0"/>
        <v>#N/A</v>
      </c>
      <c r="T11" s="1650" t="s">
        <v>25</v>
      </c>
      <c r="U11" s="1651" t="e">
        <f t="shared" si="1"/>
        <v>#N/A</v>
      </c>
      <c r="V11" s="1650" t="s">
        <v>25</v>
      </c>
      <c r="W11" s="1651" t="e">
        <f t="shared" si="2"/>
        <v>#N/A</v>
      </c>
      <c r="X11" s="1652"/>
      <c r="Y11" s="344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623"/>
      <c r="Q12" s="1604" t="str">
        <f t="shared" si="6"/>
        <v>配建</v>
      </c>
      <c r="R12" s="1650" t="s">
        <v>25</v>
      </c>
      <c r="S12" s="1651">
        <f t="shared" si="0"/>
        <v>100</v>
      </c>
      <c r="T12" s="1650" t="s">
        <v>25</v>
      </c>
      <c r="U12" s="1651">
        <f t="shared" si="1"/>
        <v>100</v>
      </c>
      <c r="V12" s="1650" t="s">
        <v>25</v>
      </c>
      <c r="W12" s="1651">
        <f t="shared" si="2"/>
        <v>100</v>
      </c>
      <c r="X12" s="1652"/>
      <c r="Y12" s="3449"/>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623"/>
      <c r="Q13" s="1604">
        <f t="shared" si="6"/>
        <v>111</v>
      </c>
      <c r="R13" s="1650" t="s">
        <v>25</v>
      </c>
      <c r="S13" s="1651">
        <f t="shared" si="0"/>
        <v>100</v>
      </c>
      <c r="T13" s="1650" t="s">
        <v>25</v>
      </c>
      <c r="U13" s="1651">
        <f t="shared" si="1"/>
        <v>100</v>
      </c>
      <c r="V13" s="1650" t="s">
        <v>25</v>
      </c>
      <c r="W13" s="1651">
        <f t="shared" si="2"/>
        <v>100</v>
      </c>
      <c r="X13" s="1652"/>
      <c r="Y13" s="3449"/>
      <c r="Z13" s="1663">
        <f t="shared" si="7"/>
        <v>111</v>
      </c>
      <c r="AA13" s="1653">
        <f>D13/F13</f>
        <v>1</v>
      </c>
      <c r="AB13" s="1653">
        <f>D13/H13</f>
        <v>1</v>
      </c>
      <c r="AC13" s="1653">
        <f>D13/J13</f>
        <v>1</v>
      </c>
    </row>
    <row r="14" spans="1:30" ht="15.6"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623"/>
      <c r="Q14" s="1604">
        <f t="shared" si="6"/>
        <v>111</v>
      </c>
      <c r="R14" s="1650" t="s">
        <v>25</v>
      </c>
      <c r="S14" s="1651">
        <f t="shared" si="0"/>
        <v>100</v>
      </c>
      <c r="T14" s="1650" t="s">
        <v>25</v>
      </c>
      <c r="U14" s="1651">
        <f t="shared" si="1"/>
        <v>100</v>
      </c>
      <c r="V14" s="1650" t="s">
        <v>25</v>
      </c>
      <c r="W14" s="1651">
        <f t="shared" si="2"/>
        <v>100</v>
      </c>
      <c r="X14" s="1652"/>
      <c r="Y14" s="3449"/>
      <c r="Z14" s="1663">
        <f t="shared" si="7"/>
        <v>111</v>
      </c>
      <c r="AA14" s="1653">
        <f>D14/F14</f>
        <v>1</v>
      </c>
      <c r="AB14" s="1653">
        <f>D14/H14</f>
        <v>1</v>
      </c>
      <c r="AC14" s="1653">
        <f>D14/J14</f>
        <v>1</v>
      </c>
    </row>
    <row r="15" spans="1:30" ht="96.6">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640" t="s">
        <v>2213</v>
      </c>
      <c r="Q15" s="1585" t="str">
        <f t="shared" si="6"/>
        <v>居住社区成熟度</v>
      </c>
      <c r="R15" s="1695" t="s">
        <v>25</v>
      </c>
      <c r="S15" s="1696">
        <f t="shared" si="0"/>
        <v>100</v>
      </c>
      <c r="T15" s="1695" t="s">
        <v>25</v>
      </c>
      <c r="U15" s="1696">
        <f t="shared" si="1"/>
        <v>100</v>
      </c>
      <c r="V15" s="1695" t="s">
        <v>25</v>
      </c>
      <c r="W15" s="1696">
        <f t="shared" si="2"/>
        <v>100</v>
      </c>
      <c r="X15" s="1635"/>
      <c r="Y15" s="3640"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641"/>
      <c r="Q16" s="1585"/>
      <c r="R16" s="1695"/>
      <c r="S16" s="1696"/>
      <c r="T16" s="1695"/>
      <c r="U16" s="1696"/>
      <c r="V16" s="1695"/>
      <c r="W16" s="1696"/>
      <c r="X16" s="1635"/>
      <c r="Y16" s="3641"/>
      <c r="Z16" s="1697"/>
      <c r="AA16" s="1698">
        <v>1</v>
      </c>
      <c r="AB16" s="1698">
        <v>1</v>
      </c>
      <c r="AC16" s="1698">
        <v>1</v>
      </c>
    </row>
    <row r="17" spans="1:29" ht="82.8">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641"/>
      <c r="Q17" s="1585" t="str">
        <f>B17</f>
        <v>商业繁华度</v>
      </c>
      <c r="R17" s="1695" t="s">
        <v>25</v>
      </c>
      <c r="S17" s="1696">
        <f>F17</f>
        <v>100</v>
      </c>
      <c r="T17" s="1695" t="s">
        <v>25</v>
      </c>
      <c r="U17" s="1696">
        <f>H17</f>
        <v>100</v>
      </c>
      <c r="V17" s="1695" t="s">
        <v>25</v>
      </c>
      <c r="W17" s="1696">
        <f>J17</f>
        <v>100</v>
      </c>
      <c r="X17" s="1635"/>
      <c r="Y17" s="3641"/>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641"/>
      <c r="Q18" s="1585"/>
      <c r="R18" s="1695"/>
      <c r="S18" s="1696"/>
      <c r="T18" s="1695"/>
      <c r="U18" s="1696"/>
      <c r="V18" s="1695"/>
      <c r="W18" s="1696"/>
      <c r="X18" s="1635"/>
      <c r="Y18" s="3641"/>
      <c r="Z18" s="1697"/>
      <c r="AA18" s="1698">
        <v>1</v>
      </c>
      <c r="AB18" s="1698">
        <v>1</v>
      </c>
      <c r="AC18" s="1698">
        <v>1</v>
      </c>
    </row>
    <row r="19" spans="1:29" ht="82.8">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641"/>
      <c r="Q19" s="1585" t="str">
        <f>B19</f>
        <v>办公集聚程度</v>
      </c>
      <c r="R19" s="1695" t="s">
        <v>25</v>
      </c>
      <c r="S19" s="1696">
        <f>F19</f>
        <v>100</v>
      </c>
      <c r="T19" s="1695" t="s">
        <v>25</v>
      </c>
      <c r="U19" s="1696">
        <f>H19</f>
        <v>100</v>
      </c>
      <c r="V19" s="1695" t="s">
        <v>25</v>
      </c>
      <c r="W19" s="1696">
        <f>J19</f>
        <v>100</v>
      </c>
      <c r="X19" s="1635"/>
      <c r="Y19" s="3641"/>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641"/>
      <c r="Q20" s="1585"/>
      <c r="R20" s="1695"/>
      <c r="S20" s="1696"/>
      <c r="T20" s="1695"/>
      <c r="U20" s="1696"/>
      <c r="V20" s="1695"/>
      <c r="W20" s="1696"/>
      <c r="X20" s="1635"/>
      <c r="Y20" s="3641"/>
      <c r="Z20" s="1697"/>
      <c r="AA20" s="1698">
        <v>1</v>
      </c>
      <c r="AB20" s="1698">
        <v>1</v>
      </c>
      <c r="AC20" s="1698">
        <v>1</v>
      </c>
    </row>
    <row r="21" spans="1:29" ht="96.6">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641"/>
      <c r="Q21" s="1585" t="str">
        <f>B21</f>
        <v>交通便捷度</v>
      </c>
      <c r="R21" s="1695" t="s">
        <v>25</v>
      </c>
      <c r="S21" s="1696">
        <f>F21</f>
        <v>100</v>
      </c>
      <c r="T21" s="1695" t="s">
        <v>25</v>
      </c>
      <c r="U21" s="1696">
        <f>H21</f>
        <v>100</v>
      </c>
      <c r="V21" s="1695" t="s">
        <v>25</v>
      </c>
      <c r="W21" s="1696">
        <f>J21</f>
        <v>100</v>
      </c>
      <c r="X21" s="1635"/>
      <c r="Y21" s="3641"/>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641"/>
      <c r="Q22" s="1585"/>
      <c r="R22" s="1695"/>
      <c r="S22" s="1696"/>
      <c r="T22" s="1695"/>
      <c r="U22" s="1696"/>
      <c r="V22" s="1695"/>
      <c r="W22" s="1696"/>
      <c r="X22" s="1635"/>
      <c r="Y22" s="3641"/>
      <c r="Z22" s="1697"/>
      <c r="AA22" s="1698">
        <v>1</v>
      </c>
      <c r="AB22" s="1698">
        <v>1</v>
      </c>
      <c r="AC22" s="1698">
        <v>1</v>
      </c>
    </row>
    <row r="23" spans="1:29" ht="28.8">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641"/>
      <c r="Q23" s="1585" t="str">
        <f t="shared" ref="Q23:Q37" si="8">B23</f>
        <v>区域土地利用方向</v>
      </c>
      <c r="R23" s="1695" t="s">
        <v>25</v>
      </c>
      <c r="S23" s="1696">
        <f>F23</f>
        <v>100</v>
      </c>
      <c r="T23" s="1695" t="s">
        <v>25</v>
      </c>
      <c r="U23" s="1696">
        <f>H23</f>
        <v>100</v>
      </c>
      <c r="V23" s="1695" t="s">
        <v>25</v>
      </c>
      <c r="W23" s="1696">
        <f>J23</f>
        <v>100</v>
      </c>
      <c r="X23" s="1635"/>
      <c r="Y23" s="3641"/>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641"/>
      <c r="Q24" s="1585"/>
      <c r="R24" s="1695"/>
      <c r="S24" s="1696"/>
      <c r="T24" s="1695"/>
      <c r="U24" s="1696"/>
      <c r="V24" s="1695"/>
      <c r="W24" s="1696"/>
      <c r="X24" s="1635"/>
      <c r="Y24" s="3641"/>
      <c r="Z24" s="1697"/>
      <c r="AA24" s="1698"/>
      <c r="AB24" s="1698"/>
      <c r="AC24" s="1698"/>
    </row>
    <row r="25" spans="1:29" ht="55.2">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641"/>
      <c r="Q25" s="1585" t="str">
        <f t="shared" si="8"/>
        <v>自然及人文环境状况</v>
      </c>
      <c r="R25" s="1695" t="s">
        <v>25</v>
      </c>
      <c r="S25" s="1696">
        <f>F25</f>
        <v>100</v>
      </c>
      <c r="T25" s="1695" t="s">
        <v>25</v>
      </c>
      <c r="U25" s="1696">
        <f>H25</f>
        <v>100</v>
      </c>
      <c r="V25" s="1695" t="s">
        <v>25</v>
      </c>
      <c r="W25" s="1696">
        <f>J25</f>
        <v>100</v>
      </c>
      <c r="X25" s="1635"/>
      <c r="Y25" s="3641"/>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641"/>
      <c r="Q26" s="1585"/>
      <c r="R26" s="1695"/>
      <c r="S26" s="1696"/>
      <c r="T26" s="1695"/>
      <c r="U26" s="1696"/>
      <c r="V26" s="1695"/>
      <c r="W26" s="1696"/>
      <c r="X26" s="1635"/>
      <c r="Y26" s="3641"/>
      <c r="Z26" s="1697"/>
      <c r="AA26" s="1698">
        <v>1</v>
      </c>
      <c r="AB26" s="1698">
        <v>1</v>
      </c>
      <c r="AC26" s="1698">
        <v>1</v>
      </c>
    </row>
    <row r="27" spans="1:29" ht="41.4">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641"/>
      <c r="Q27" s="1604" t="str">
        <f t="shared" ref="Q27" si="9">B27</f>
        <v>公共配套设施</v>
      </c>
      <c r="R27" s="1650" t="s">
        <v>25</v>
      </c>
      <c r="S27" s="1651">
        <f>F27</f>
        <v>100</v>
      </c>
      <c r="T27" s="1650" t="s">
        <v>25</v>
      </c>
      <c r="U27" s="1651">
        <f>H27</f>
        <v>100</v>
      </c>
      <c r="V27" s="1650" t="s">
        <v>25</v>
      </c>
      <c r="W27" s="1651">
        <f>J27</f>
        <v>100</v>
      </c>
      <c r="X27" s="1635"/>
      <c r="Y27" s="3641"/>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641"/>
      <c r="Q28" s="1585"/>
      <c r="R28" s="1695"/>
      <c r="S28" s="1696"/>
      <c r="T28" s="1695"/>
      <c r="U28" s="1696"/>
      <c r="V28" s="1695"/>
      <c r="W28" s="1696"/>
      <c r="X28" s="1635"/>
      <c r="Y28" s="3641"/>
      <c r="Z28" s="1663"/>
      <c r="AA28" s="1698">
        <v>1</v>
      </c>
      <c r="AB28" s="1698">
        <v>1</v>
      </c>
      <c r="AC28" s="1698">
        <v>1</v>
      </c>
    </row>
    <row r="29" spans="1:29" s="1654" customFormat="1" ht="41.4">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641"/>
      <c r="Q29" s="1604" t="str">
        <f t="shared" si="8"/>
        <v>基础设施水平</v>
      </c>
      <c r="R29" s="1650" t="s">
        <v>25</v>
      </c>
      <c r="S29" s="1651">
        <f>F29</f>
        <v>100</v>
      </c>
      <c r="T29" s="1650" t="s">
        <v>25</v>
      </c>
      <c r="U29" s="1651">
        <f>H29</f>
        <v>100</v>
      </c>
      <c r="V29" s="1650" t="s">
        <v>25</v>
      </c>
      <c r="W29" s="1651">
        <f>J29</f>
        <v>100</v>
      </c>
      <c r="X29" s="1652"/>
      <c r="Y29" s="3641"/>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641"/>
      <c r="Q30" s="1604"/>
      <c r="R30" s="1650"/>
      <c r="S30" s="1651"/>
      <c r="T30" s="1650"/>
      <c r="U30" s="1651"/>
      <c r="V30" s="1650"/>
      <c r="W30" s="1651"/>
      <c r="X30" s="1652"/>
      <c r="Y30" s="3641"/>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641"/>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41"/>
      <c r="Z31" s="1697" t="str">
        <f t="shared" ref="Z31:Z45" si="13">Q31</f>
        <v>临街状况</v>
      </c>
      <c r="AA31" s="1698">
        <f t="shared" si="3"/>
        <v>1</v>
      </c>
      <c r="AB31" s="1698">
        <f t="shared" si="4"/>
        <v>1</v>
      </c>
      <c r="AC31" s="1698">
        <f t="shared" si="5"/>
        <v>1</v>
      </c>
    </row>
    <row r="32" spans="1:29" ht="28.8">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641"/>
      <c r="Q32" s="1585" t="str">
        <f t="shared" si="8"/>
        <v>毗邻道路的类型与等级</v>
      </c>
      <c r="R32" s="1695" t="s">
        <v>25</v>
      </c>
      <c r="S32" s="1696">
        <f t="shared" si="10"/>
        <v>100</v>
      </c>
      <c r="T32" s="1695" t="s">
        <v>25</v>
      </c>
      <c r="U32" s="1696">
        <f t="shared" si="11"/>
        <v>100</v>
      </c>
      <c r="V32" s="1695" t="s">
        <v>25</v>
      </c>
      <c r="W32" s="1696">
        <f t="shared" si="12"/>
        <v>100</v>
      </c>
      <c r="X32" s="1635"/>
      <c r="Y32" s="3641"/>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641"/>
      <c r="Q33" s="1585"/>
      <c r="R33" s="1695"/>
      <c r="S33" s="1696"/>
      <c r="T33" s="1695"/>
      <c r="U33" s="1696"/>
      <c r="V33" s="1695"/>
      <c r="W33" s="1696"/>
      <c r="X33" s="1635"/>
      <c r="Y33" s="3641"/>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641"/>
      <c r="Q34" s="1585" t="str">
        <f t="shared" si="8"/>
        <v>土地级别</v>
      </c>
      <c r="R34" s="1695" t="s">
        <v>25</v>
      </c>
      <c r="S34" s="1696">
        <f t="shared" si="10"/>
        <v>100</v>
      </c>
      <c r="T34" s="1695" t="s">
        <v>25</v>
      </c>
      <c r="U34" s="1696">
        <f t="shared" si="11"/>
        <v>100</v>
      </c>
      <c r="V34" s="1695" t="s">
        <v>25</v>
      </c>
      <c r="W34" s="1696">
        <f t="shared" si="12"/>
        <v>100</v>
      </c>
      <c r="X34" s="1635"/>
      <c r="Y34" s="3641"/>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641"/>
      <c r="Q35" s="1585">
        <f t="shared" si="8"/>
        <v>111</v>
      </c>
      <c r="R35" s="1695" t="s">
        <v>25</v>
      </c>
      <c r="S35" s="1696">
        <f t="shared" si="10"/>
        <v>100</v>
      </c>
      <c r="T35" s="1695" t="s">
        <v>25</v>
      </c>
      <c r="U35" s="1696">
        <f t="shared" si="11"/>
        <v>100</v>
      </c>
      <c r="V35" s="1695" t="s">
        <v>25</v>
      </c>
      <c r="W35" s="1696">
        <f t="shared" si="12"/>
        <v>100</v>
      </c>
      <c r="X35" s="1635"/>
      <c r="Y35" s="3641"/>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28" t="s">
        <v>2219</v>
      </c>
      <c r="Q36" s="1585">
        <f t="shared" si="8"/>
        <v>111</v>
      </c>
      <c r="R36" s="1695" t="s">
        <v>25</v>
      </c>
      <c r="S36" s="1696">
        <f t="shared" si="10"/>
        <v>100</v>
      </c>
      <c r="T36" s="1695" t="s">
        <v>25</v>
      </c>
      <c r="U36" s="1696">
        <f t="shared" si="11"/>
        <v>100</v>
      </c>
      <c r="V36" s="1695" t="s">
        <v>25</v>
      </c>
      <c r="W36" s="1696">
        <f t="shared" si="12"/>
        <v>100</v>
      </c>
      <c r="X36" s="1635"/>
      <c r="Y36" s="3629" t="s">
        <v>2219</v>
      </c>
      <c r="Z36" s="1697">
        <f t="shared" si="13"/>
        <v>111</v>
      </c>
      <c r="AA36" s="1698">
        <f t="shared" si="3"/>
        <v>1</v>
      </c>
      <c r="AB36" s="1698">
        <f t="shared" si="4"/>
        <v>1</v>
      </c>
      <c r="AC36" s="1698">
        <f t="shared" si="5"/>
        <v>1</v>
      </c>
    </row>
    <row r="37" spans="1:29" s="1741" customFormat="1" ht="15.6"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629"/>
      <c r="Q37" s="1585">
        <f t="shared" si="8"/>
        <v>111</v>
      </c>
      <c r="R37" s="1737" t="s">
        <v>25</v>
      </c>
      <c r="S37" s="1738">
        <f t="shared" si="10"/>
        <v>100</v>
      </c>
      <c r="T37" s="1737" t="s">
        <v>25</v>
      </c>
      <c r="U37" s="1738">
        <f t="shared" si="11"/>
        <v>100</v>
      </c>
      <c r="V37" s="1737" t="s">
        <v>25</v>
      </c>
      <c r="W37" s="1738">
        <f t="shared" si="12"/>
        <v>100</v>
      </c>
      <c r="X37" s="1739"/>
      <c r="Y37" s="3629"/>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629"/>
      <c r="Q38" s="1585" t="str">
        <f>B38</f>
        <v>宗地面积</v>
      </c>
      <c r="R38" s="1695" t="s">
        <v>25</v>
      </c>
      <c r="S38" s="1696" t="e">
        <f t="shared" si="10"/>
        <v>#N/A</v>
      </c>
      <c r="T38" s="1695" t="s">
        <v>25</v>
      </c>
      <c r="U38" s="1696" t="e">
        <f t="shared" si="11"/>
        <v>#N/A</v>
      </c>
      <c r="V38" s="1695" t="s">
        <v>25</v>
      </c>
      <c r="W38" s="1696" t="e">
        <f t="shared" si="12"/>
        <v>#N/A</v>
      </c>
      <c r="X38" s="1635"/>
      <c r="Y38" s="3629"/>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629"/>
      <c r="Q39" s="1585" t="str">
        <f t="shared" ref="Q39:Q45" si="14">B39</f>
        <v>宗地形状</v>
      </c>
      <c r="R39" s="1695" t="s">
        <v>25</v>
      </c>
      <c r="S39" s="1696">
        <f t="shared" si="10"/>
        <v>100</v>
      </c>
      <c r="T39" s="1695" t="s">
        <v>25</v>
      </c>
      <c r="U39" s="1696">
        <f t="shared" si="11"/>
        <v>100</v>
      </c>
      <c r="V39" s="1695" t="s">
        <v>25</v>
      </c>
      <c r="W39" s="1696">
        <f t="shared" si="12"/>
        <v>100</v>
      </c>
      <c r="X39" s="1635"/>
      <c r="Y39" s="3629"/>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629"/>
      <c r="Q40" s="1585" t="str">
        <f t="shared" si="14"/>
        <v>临街宽度及深度</v>
      </c>
      <c r="R40" s="1695" t="s">
        <v>25</v>
      </c>
      <c r="S40" s="1696">
        <f t="shared" si="10"/>
        <v>100</v>
      </c>
      <c r="T40" s="1695" t="s">
        <v>25</v>
      </c>
      <c r="U40" s="1696">
        <f t="shared" si="11"/>
        <v>100</v>
      </c>
      <c r="V40" s="1695" t="s">
        <v>25</v>
      </c>
      <c r="W40" s="1696">
        <f t="shared" si="12"/>
        <v>100</v>
      </c>
      <c r="X40" s="1635"/>
      <c r="Y40" s="3629"/>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629"/>
      <c r="Q41" s="1585" t="str">
        <f t="shared" si="14"/>
        <v>宗地开发程度</v>
      </c>
      <c r="R41" s="1650" t="s">
        <v>25</v>
      </c>
      <c r="S41" s="1651">
        <f t="shared" si="10"/>
        <v>100</v>
      </c>
      <c r="T41" s="1650" t="s">
        <v>25</v>
      </c>
      <c r="U41" s="1651">
        <f t="shared" si="11"/>
        <v>100</v>
      </c>
      <c r="V41" s="1650" t="s">
        <v>25</v>
      </c>
      <c r="W41" s="1651">
        <f t="shared" si="12"/>
        <v>100</v>
      </c>
      <c r="X41" s="1652"/>
      <c r="Y41" s="3629"/>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629" t="s">
        <v>2219</v>
      </c>
      <c r="Q42" s="1585" t="str">
        <f t="shared" si="14"/>
        <v>工程地质条件</v>
      </c>
      <c r="R42" s="1695" t="s">
        <v>25</v>
      </c>
      <c r="S42" s="1696">
        <f t="shared" si="10"/>
        <v>100</v>
      </c>
      <c r="T42" s="1695" t="s">
        <v>25</v>
      </c>
      <c r="U42" s="1696">
        <f t="shared" si="11"/>
        <v>100</v>
      </c>
      <c r="V42" s="1695" t="s">
        <v>25</v>
      </c>
      <c r="W42" s="1696">
        <f t="shared" si="12"/>
        <v>100</v>
      </c>
      <c r="X42" s="1635"/>
      <c r="Y42" s="3629"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629"/>
      <c r="Q43" s="1585">
        <f t="shared" si="14"/>
        <v>111</v>
      </c>
      <c r="R43" s="1695" t="s">
        <v>25</v>
      </c>
      <c r="S43" s="1696">
        <f t="shared" si="10"/>
        <v>100</v>
      </c>
      <c r="T43" s="1695" t="s">
        <v>25</v>
      </c>
      <c r="U43" s="1696">
        <f t="shared" si="11"/>
        <v>100</v>
      </c>
      <c r="V43" s="1695" t="s">
        <v>25</v>
      </c>
      <c r="W43" s="1696">
        <f t="shared" si="12"/>
        <v>100</v>
      </c>
      <c r="X43" s="1635"/>
      <c r="Y43" s="3629"/>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629"/>
      <c r="Q44" s="1585">
        <f t="shared" si="14"/>
        <v>111</v>
      </c>
      <c r="R44" s="1695" t="s">
        <v>25</v>
      </c>
      <c r="S44" s="1696">
        <f t="shared" si="10"/>
        <v>100</v>
      </c>
      <c r="T44" s="1695" t="s">
        <v>25</v>
      </c>
      <c r="U44" s="1696">
        <f t="shared" si="11"/>
        <v>100</v>
      </c>
      <c r="V44" s="1695" t="s">
        <v>25</v>
      </c>
      <c r="W44" s="1696">
        <f t="shared" si="12"/>
        <v>100</v>
      </c>
      <c r="X44" s="1635"/>
      <c r="Y44" s="3629"/>
      <c r="Z44" s="1697">
        <f t="shared" si="13"/>
        <v>111</v>
      </c>
      <c r="AA44" s="1698">
        <f t="shared" si="3"/>
        <v>1</v>
      </c>
      <c r="AB44" s="1698">
        <f t="shared" si="4"/>
        <v>1</v>
      </c>
      <c r="AC44" s="1698">
        <f t="shared" si="5"/>
        <v>1</v>
      </c>
    </row>
    <row r="45" spans="1:29" s="1741" customFormat="1" ht="15.6"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629"/>
      <c r="Q45" s="1585">
        <f t="shared" si="14"/>
        <v>111</v>
      </c>
      <c r="R45" s="1737" t="s">
        <v>25</v>
      </c>
      <c r="S45" s="1738">
        <f t="shared" si="10"/>
        <v>100</v>
      </c>
      <c r="T45" s="1737" t="s">
        <v>25</v>
      </c>
      <c r="U45" s="1738">
        <f t="shared" si="11"/>
        <v>100</v>
      </c>
      <c r="V45" s="1737" t="s">
        <v>25</v>
      </c>
      <c r="W45" s="1738">
        <f t="shared" si="12"/>
        <v>100</v>
      </c>
      <c r="X45" s="1739"/>
      <c r="Y45" s="3629"/>
      <c r="Z45" s="1740">
        <f t="shared" si="13"/>
        <v>111</v>
      </c>
      <c r="AA45" s="1698">
        <f t="shared" si="3"/>
        <v>1</v>
      </c>
      <c r="AB45" s="1698">
        <f t="shared" si="4"/>
        <v>1</v>
      </c>
      <c r="AC45" s="1698">
        <f t="shared" si="5"/>
        <v>1</v>
      </c>
    </row>
    <row r="46" spans="1:29" ht="14.4">
      <c r="A46" s="1751" t="s">
        <v>2361</v>
      </c>
      <c r="B46" s="1976" t="s">
        <v>2398</v>
      </c>
      <c r="C46" s="1977" t="s">
        <v>1</v>
      </c>
      <c r="D46" s="1978"/>
      <c r="E46" s="1979"/>
      <c r="F46" s="1980"/>
      <c r="G46" s="1981"/>
      <c r="H46" s="1982"/>
      <c r="I46" s="1979"/>
      <c r="J46" s="1982"/>
      <c r="K46" s="1983"/>
      <c r="L46" s="2970"/>
      <c r="N46" s="2965"/>
      <c r="P46" s="3623" t="str">
        <f>A46</f>
        <v>成交单价</v>
      </c>
      <c r="Q46" s="3623"/>
      <c r="R46" s="3655">
        <f>E46</f>
        <v>0</v>
      </c>
      <c r="S46" s="3655"/>
      <c r="T46" s="3655">
        <f>G46</f>
        <v>0</v>
      </c>
      <c r="U46" s="3655"/>
      <c r="V46" s="3655">
        <f>I46</f>
        <v>0</v>
      </c>
      <c r="W46" s="3655"/>
      <c r="X46" s="1761"/>
      <c r="Y46" s="1762"/>
      <c r="Z46" s="1761"/>
      <c r="AA46" s="1761"/>
      <c r="AB46" s="1761"/>
      <c r="AC46" s="1761"/>
    </row>
    <row r="47" spans="1:29" ht="15" thickBot="1">
      <c r="A47" s="1763" t="s">
        <v>2314</v>
      </c>
      <c r="B47" s="1984"/>
      <c r="C47" s="1985" t="e">
        <f>R48</f>
        <v>#DIV/0!</v>
      </c>
      <c r="D47" s="1766" t="s">
        <v>2687</v>
      </c>
      <c r="E47" s="1985" t="e">
        <f>R47</f>
        <v>#DIV/0!</v>
      </c>
      <c r="F47" s="1768"/>
      <c r="G47" s="1986" t="e">
        <f>T47</f>
        <v>#DIV/0!</v>
      </c>
      <c r="H47" s="1768"/>
      <c r="I47" s="1985" t="e">
        <f>V47</f>
        <v>#DIV/0!</v>
      </c>
      <c r="J47" s="1768"/>
      <c r="K47" s="2480">
        <f>F47+H47+J47</f>
        <v>0</v>
      </c>
      <c r="L47" s="2970"/>
      <c r="P47" s="3623" t="str">
        <f>A47</f>
        <v>比较价值（元/平方米）</v>
      </c>
      <c r="Q47" s="3623"/>
      <c r="R47" s="3699" t="e">
        <f>ROUND(PRODUCT(R46,AA7:AA45),0)</f>
        <v>#DIV/0!</v>
      </c>
      <c r="S47" s="3699"/>
      <c r="T47" s="3699" t="e">
        <f>ROUND(PRODUCT(T46,AB7:AB45),0)</f>
        <v>#DIV/0!</v>
      </c>
      <c r="U47" s="3699"/>
      <c r="V47" s="3699" t="e">
        <f>ROUND(PRODUCT(V46,AC7:AC45),0)</f>
        <v>#DIV/0!</v>
      </c>
      <c r="W47" s="3699"/>
      <c r="X47" s="1761"/>
      <c r="Y47" s="1761"/>
      <c r="Z47" s="1761"/>
      <c r="AA47" s="1761"/>
      <c r="AB47" s="1761"/>
      <c r="AC47" s="1761"/>
    </row>
    <row r="48" spans="1:29" ht="15" thickBot="1">
      <c r="A48" s="1769" t="s">
        <v>2337</v>
      </c>
      <c r="B48" s="1770"/>
      <c r="C48" s="1987" t="e">
        <f>R48</f>
        <v>#DIV/0!</v>
      </c>
      <c r="D48" s="1987"/>
      <c r="E48" s="1987"/>
      <c r="F48" s="1987"/>
      <c r="G48" s="1987"/>
      <c r="H48" s="1987"/>
      <c r="I48" s="1987"/>
      <c r="J48" s="1987"/>
      <c r="K48" s="1988"/>
      <c r="L48" s="2970"/>
      <c r="P48" s="3625" t="str">
        <f>A48</f>
        <v>估价对象XX用房的比较价值（楼面单价，元/平方米）</v>
      </c>
      <c r="Q48" s="3626"/>
      <c r="R48" s="3700" t="e">
        <f>ROUND(IF(D47="简单平均",AVERAGE(R47:W47),R47*F47+T47*H47+V47*J47),0)</f>
        <v>#DIV/0!</v>
      </c>
      <c r="S48" s="3700"/>
      <c r="T48" s="3700"/>
      <c r="U48" s="3700"/>
      <c r="V48" s="3700"/>
      <c r="W48" s="3700"/>
      <c r="X48" s="1761"/>
      <c r="Y48" s="1761"/>
      <c r="Z48" s="1761"/>
      <c r="AA48" s="1761"/>
      <c r="AB48" s="1761"/>
      <c r="AC48" s="1761"/>
    </row>
    <row r="49" spans="1:14">
      <c r="G49" s="2974"/>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4.4" thickBot="1">
      <c r="B54" s="2975"/>
      <c r="C54" s="2976"/>
      <c r="K54" s="2977"/>
      <c r="L54" s="2971"/>
    </row>
    <row r="55" spans="1:14" ht="28.8">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7"/>
      <c r="L58" s="2971"/>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7"/>
      <c r="L60" s="2971"/>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7"/>
      <c r="L62" s="2971"/>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7"/>
      <c r="L64" s="2971"/>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thickBot="1">
      <c r="A66" s="2006" t="s">
        <v>2417</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2.2"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4.4">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4.4">
      <c r="A73" s="1809" t="s">
        <v>2203</v>
      </c>
      <c r="B73" s="1799"/>
      <c r="C73" s="1810" t="s">
        <v>2204</v>
      </c>
      <c r="D73" s="409"/>
      <c r="E73" s="409"/>
      <c r="F73" s="409"/>
      <c r="G73" s="409"/>
      <c r="H73" s="409"/>
      <c r="I73" s="409"/>
      <c r="J73" s="409"/>
      <c r="K73" s="409"/>
      <c r="L73" s="409"/>
      <c r="M73" s="1811"/>
      <c r="N73" s="2982"/>
      <c r="O73" s="2982"/>
      <c r="P73" s="2026"/>
      <c r="Q73" s="1791"/>
    </row>
    <row r="74" spans="1:17" s="1654" customFormat="1" ht="14.4" thickBot="1">
      <c r="A74" s="1809"/>
      <c r="B74" s="1799"/>
      <c r="C74" s="1800">
        <v>100</v>
      </c>
      <c r="D74" s="1801"/>
      <c r="E74" s="1801"/>
      <c r="F74" s="1801"/>
      <c r="G74" s="1801"/>
      <c r="H74" s="1801"/>
      <c r="I74" s="1801"/>
      <c r="J74" s="1801"/>
      <c r="K74" s="1801"/>
      <c r="L74" s="1801"/>
      <c r="M74" s="1815"/>
      <c r="N74" s="2982"/>
      <c r="O74" s="2982"/>
      <c r="P74" s="1791"/>
      <c r="Q74" s="1791"/>
    </row>
    <row r="75" spans="1:17" ht="14.4">
      <c r="A75" s="1816" t="s">
        <v>2242</v>
      </c>
      <c r="B75" s="1817" t="s">
        <v>2207</v>
      </c>
      <c r="C75" s="1819"/>
      <c r="D75" s="1819"/>
      <c r="E75" s="1819"/>
      <c r="F75" s="1819"/>
      <c r="G75" s="1819"/>
      <c r="H75" s="1819"/>
      <c r="I75" s="1819"/>
      <c r="J75" s="1819"/>
      <c r="K75" s="417"/>
      <c r="L75" s="417"/>
      <c r="M75" s="1820"/>
      <c r="N75" s="2983"/>
      <c r="O75" s="2983"/>
      <c r="P75" s="2027"/>
      <c r="Q75" s="1791"/>
    </row>
    <row r="76" spans="1:17" ht="14.4" thickBot="1">
      <c r="A76" s="1823"/>
      <c r="B76" s="1824"/>
      <c r="C76" s="1825"/>
      <c r="D76" s="1825"/>
      <c r="E76" s="1825"/>
      <c r="F76" s="1825"/>
      <c r="G76" s="1825"/>
      <c r="H76" s="1825"/>
      <c r="I76" s="1825"/>
      <c r="J76" s="1825"/>
      <c r="K76" s="1825"/>
      <c r="L76" s="1825"/>
      <c r="M76" s="1826"/>
      <c r="N76" s="2984"/>
      <c r="O76" s="2984"/>
      <c r="P76" s="2027"/>
      <c r="Q76" s="1791"/>
    </row>
    <row r="77" spans="1:17" ht="29.4" thickTop="1">
      <c r="A77" s="1823"/>
      <c r="B77" s="1828" t="s">
        <v>2210</v>
      </c>
      <c r="C77" s="1829"/>
      <c r="D77" s="1829"/>
      <c r="E77" s="1829"/>
      <c r="F77" s="1829"/>
      <c r="G77" s="1829"/>
      <c r="H77" s="1829"/>
      <c r="I77" s="1829"/>
      <c r="J77" s="1829"/>
      <c r="K77" s="428"/>
      <c r="L77" s="428"/>
      <c r="M77" s="1830"/>
      <c r="N77" s="2983"/>
      <c r="O77" s="2983"/>
      <c r="P77" s="2027"/>
      <c r="Q77" s="1791"/>
    </row>
    <row r="78" spans="1:17" ht="14.4" thickBot="1">
      <c r="A78" s="1823"/>
      <c r="B78" s="1831"/>
      <c r="C78" s="1832"/>
      <c r="D78" s="1832"/>
      <c r="E78" s="1832"/>
      <c r="F78" s="1832"/>
      <c r="G78" s="1832"/>
      <c r="H78" s="1832"/>
      <c r="I78" s="1832"/>
      <c r="J78" s="1832"/>
      <c r="K78" s="1832"/>
      <c r="L78" s="1832"/>
      <c r="M78" s="1833"/>
      <c r="N78" s="2984"/>
      <c r="O78" s="2984"/>
      <c r="P78" s="2027"/>
      <c r="Q78" s="1791"/>
    </row>
    <row r="79" spans="1:17" ht="1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c r="A80" s="1823"/>
      <c r="B80" s="1836"/>
      <c r="C80" s="1837"/>
      <c r="D80" s="1837"/>
      <c r="E80" s="1837"/>
      <c r="F80" s="1837"/>
      <c r="G80" s="1837"/>
      <c r="H80" s="1837"/>
      <c r="I80" s="1837"/>
      <c r="J80" s="1837"/>
      <c r="K80" s="438"/>
      <c r="L80" s="438"/>
      <c r="M80" s="1838"/>
      <c r="N80" s="2983"/>
      <c r="O80" s="2983"/>
      <c r="P80" s="2027"/>
      <c r="Q80" s="1791"/>
    </row>
    <row r="81" spans="1:17" ht="14.4"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4.4"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4.4" thickBot="1">
      <c r="A83" s="1839"/>
      <c r="B83" s="1831"/>
      <c r="C83" s="1844"/>
      <c r="D83" s="1825"/>
      <c r="E83" s="1825"/>
      <c r="F83" s="1825"/>
      <c r="G83" s="1825"/>
      <c r="H83" s="1825"/>
      <c r="I83" s="1825"/>
      <c r="J83" s="1825"/>
      <c r="K83" s="1825"/>
      <c r="L83" s="1825"/>
      <c r="M83" s="1826"/>
      <c r="N83" s="2984"/>
      <c r="O83" s="2984"/>
      <c r="P83" s="2028"/>
      <c r="Q83" s="1843"/>
    </row>
    <row r="84" spans="1:17" s="1741" customFormat="1" ht="14.4"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4.4" thickBot="1">
      <c r="A85" s="1839"/>
      <c r="B85" s="1831"/>
      <c r="C85" s="1844"/>
      <c r="D85" s="1844"/>
      <c r="E85" s="1844"/>
      <c r="F85" s="1844"/>
      <c r="G85" s="1844"/>
      <c r="H85" s="1847"/>
      <c r="I85" s="1847"/>
      <c r="J85" s="1847"/>
      <c r="K85" s="1847"/>
      <c r="L85" s="1847"/>
      <c r="M85" s="1848"/>
      <c r="N85" s="2985"/>
      <c r="O85" s="2985"/>
      <c r="P85" s="2028"/>
      <c r="Q85" s="1843"/>
    </row>
    <row r="86" spans="1:17" s="1741" customFormat="1" ht="14.4"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4.4" thickBot="1">
      <c r="A87" s="1850"/>
      <c r="B87" s="1851"/>
      <c r="C87" s="1852"/>
      <c r="D87" s="1852"/>
      <c r="E87" s="1852"/>
      <c r="F87" s="1852"/>
      <c r="G87" s="1852"/>
      <c r="H87" s="1853"/>
      <c r="I87" s="1853"/>
      <c r="J87" s="1853"/>
      <c r="K87" s="1853"/>
      <c r="L87" s="1853"/>
      <c r="M87" s="1854"/>
      <c r="N87" s="2985"/>
      <c r="O87" s="2985"/>
      <c r="P87" s="2028"/>
      <c r="Q87" s="1843"/>
    </row>
    <row r="88" spans="1:17" ht="14.4">
      <c r="A88" s="1816" t="s">
        <v>2212</v>
      </c>
      <c r="B88" s="1817" t="s">
        <v>2250</v>
      </c>
      <c r="C88" s="1855" t="s">
        <v>2251</v>
      </c>
      <c r="D88" s="1855" t="s">
        <v>2252</v>
      </c>
      <c r="E88" s="1855" t="s">
        <v>2253</v>
      </c>
      <c r="F88" s="1855" t="s">
        <v>2254</v>
      </c>
      <c r="G88" s="1855" t="s">
        <v>2255</v>
      </c>
      <c r="H88" s="1818"/>
      <c r="I88" s="1818"/>
      <c r="J88" s="1818"/>
      <c r="K88" s="463"/>
      <c r="L88" s="463"/>
      <c r="M88" s="1856"/>
      <c r="N88" s="2983"/>
      <c r="O88" s="2983"/>
      <c r="P88" s="2027"/>
      <c r="Q88" s="1791"/>
    </row>
    <row r="89" spans="1:17" ht="14.4"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 thickTop="1">
      <c r="A90" s="1823"/>
      <c r="B90" s="1828" t="s">
        <v>2420</v>
      </c>
      <c r="C90" s="579" t="s">
        <v>2251</v>
      </c>
      <c r="D90" s="579" t="s">
        <v>2252</v>
      </c>
      <c r="E90" s="579" t="s">
        <v>2253</v>
      </c>
      <c r="F90" s="579" t="s">
        <v>2254</v>
      </c>
      <c r="G90" s="579" t="s">
        <v>2255</v>
      </c>
      <c r="H90" s="1829"/>
      <c r="I90" s="1829"/>
      <c r="J90" s="1829"/>
      <c r="K90" s="428"/>
      <c r="L90" s="428"/>
      <c r="M90" s="1830"/>
      <c r="N90" s="2983"/>
      <c r="O90" s="2983"/>
      <c r="P90" s="2027"/>
      <c r="Q90" s="1791"/>
    </row>
    <row r="91" spans="1:17" ht="14.4"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 thickTop="1">
      <c r="A92" s="1823"/>
      <c r="B92" s="1828" t="s">
        <v>2338</v>
      </c>
      <c r="C92" s="579" t="s">
        <v>2251</v>
      </c>
      <c r="D92" s="579" t="s">
        <v>2252</v>
      </c>
      <c r="E92" s="579" t="s">
        <v>2253</v>
      </c>
      <c r="F92" s="579" t="s">
        <v>2254</v>
      </c>
      <c r="G92" s="579" t="s">
        <v>2255</v>
      </c>
      <c r="H92" s="1829"/>
      <c r="I92" s="1829"/>
      <c r="J92" s="1829"/>
      <c r="K92" s="428"/>
      <c r="L92" s="428"/>
      <c r="M92" s="1830"/>
      <c r="N92" s="2983"/>
      <c r="O92" s="2983"/>
      <c r="P92" s="2027"/>
      <c r="Q92" s="1791"/>
    </row>
    <row r="93" spans="1:17" ht="14.4"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 thickTop="1">
      <c r="A94" s="1823"/>
      <c r="B94" s="1828" t="s">
        <v>2256</v>
      </c>
      <c r="C94" s="579" t="s">
        <v>2251</v>
      </c>
      <c r="D94" s="579" t="s">
        <v>2252</v>
      </c>
      <c r="E94" s="579" t="s">
        <v>2253</v>
      </c>
      <c r="F94" s="579" t="s">
        <v>2254</v>
      </c>
      <c r="G94" s="579" t="s">
        <v>2255</v>
      </c>
      <c r="H94" s="1829"/>
      <c r="I94" s="1829"/>
      <c r="J94" s="1829"/>
      <c r="K94" s="428"/>
      <c r="L94" s="428"/>
      <c r="M94" s="1830"/>
      <c r="N94" s="2983"/>
      <c r="O94" s="2983"/>
      <c r="P94" s="2027"/>
      <c r="Q94" s="1791"/>
    </row>
    <row r="95" spans="1:17" ht="14.4"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29.4" thickTop="1">
      <c r="A96" s="1859"/>
      <c r="B96" s="1828" t="s">
        <v>2421</v>
      </c>
      <c r="C96" s="579" t="s">
        <v>2251</v>
      </c>
      <c r="D96" s="579" t="s">
        <v>2252</v>
      </c>
      <c r="E96" s="579" t="s">
        <v>2253</v>
      </c>
      <c r="F96" s="579" t="s">
        <v>2254</v>
      </c>
      <c r="G96" s="579" t="s">
        <v>2255</v>
      </c>
      <c r="H96" s="579"/>
      <c r="I96" s="579"/>
      <c r="J96" s="579"/>
      <c r="K96" s="579"/>
      <c r="L96" s="579"/>
      <c r="M96" s="2030"/>
      <c r="N96" s="2982"/>
      <c r="O96" s="2982"/>
      <c r="P96" s="2027"/>
      <c r="Q96" s="1791"/>
    </row>
    <row r="97" spans="1:17" s="1654" customFormat="1" ht="14.4"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9.4" thickTop="1">
      <c r="A98" s="1859"/>
      <c r="B98" s="1828" t="s">
        <v>2422</v>
      </c>
      <c r="C98" s="1855" t="s">
        <v>2251</v>
      </c>
      <c r="D98" s="1855" t="s">
        <v>2252</v>
      </c>
      <c r="E98" s="1855" t="s">
        <v>2253</v>
      </c>
      <c r="F98" s="1855" t="s">
        <v>2254</v>
      </c>
      <c r="G98" s="1855" t="s">
        <v>2255</v>
      </c>
      <c r="H98" s="579"/>
      <c r="I98" s="579"/>
      <c r="J98" s="579"/>
      <c r="K98" s="579"/>
      <c r="L98" s="579"/>
      <c r="M98" s="2030"/>
      <c r="N98" s="2982"/>
      <c r="O98" s="2982"/>
      <c r="P98" s="2027"/>
      <c r="Q98" s="1791"/>
    </row>
    <row r="99" spans="1:17" s="1654" customFormat="1" ht="14.4"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 thickTop="1">
      <c r="A100" s="1859"/>
      <c r="B100" s="1834" t="s">
        <v>2299</v>
      </c>
      <c r="C100" s="1855" t="s">
        <v>2251</v>
      </c>
      <c r="D100" s="1855" t="s">
        <v>2252</v>
      </c>
      <c r="E100" s="1855" t="s">
        <v>2253</v>
      </c>
      <c r="F100" s="1855" t="s">
        <v>2254</v>
      </c>
      <c r="G100" s="1855" t="s">
        <v>2255</v>
      </c>
      <c r="H100" s="1829"/>
      <c r="I100" s="1829"/>
      <c r="J100" s="1829"/>
      <c r="K100" s="1829"/>
      <c r="L100" s="1829"/>
      <c r="M100" s="1857"/>
      <c r="N100" s="2984"/>
      <c r="O100" s="2984"/>
      <c r="P100" s="2027"/>
      <c r="Q100" s="1791"/>
    </row>
    <row r="101" spans="1:17" s="1654" customFormat="1" ht="14.4"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 thickTop="1">
      <c r="A102" s="1839"/>
      <c r="B102" s="1828" t="s">
        <v>2300</v>
      </c>
      <c r="C102" s="1829" t="s">
        <v>2258</v>
      </c>
      <c r="D102" s="1829" t="s">
        <v>2259</v>
      </c>
      <c r="E102" s="1829" t="s">
        <v>2260</v>
      </c>
      <c r="F102" s="1829" t="s">
        <v>2261</v>
      </c>
      <c r="G102" s="1829" t="s">
        <v>2262</v>
      </c>
      <c r="H102" s="489"/>
      <c r="I102" s="489"/>
      <c r="J102" s="489"/>
      <c r="K102" s="489"/>
      <c r="L102" s="489"/>
      <c r="M102" s="1874"/>
      <c r="N102" s="2985"/>
      <c r="O102" s="2985"/>
      <c r="P102" s="2028"/>
      <c r="Q102" s="1843"/>
    </row>
    <row r="103" spans="1:17" s="1741" customFormat="1" ht="14.4"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3"/>
      <c r="O104" s="2983"/>
      <c r="P104" s="2027"/>
      <c r="Q104" s="1791"/>
    </row>
    <row r="105" spans="1:17" ht="14.4"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9.4" thickTop="1">
      <c r="A106" s="1823"/>
      <c r="B106" s="1828" t="s">
        <v>2331</v>
      </c>
      <c r="C106" s="468"/>
      <c r="D106" s="468"/>
      <c r="E106" s="468"/>
      <c r="F106" s="468"/>
      <c r="G106" s="468"/>
      <c r="H106" s="1547"/>
      <c r="I106" s="1547"/>
      <c r="J106" s="1547"/>
      <c r="K106" s="473"/>
      <c r="L106" s="473"/>
      <c r="M106" s="1863"/>
      <c r="N106" s="2983"/>
      <c r="O106" s="2983"/>
      <c r="P106" s="2027"/>
      <c r="Q106" s="1791"/>
    </row>
    <row r="107" spans="1:17" ht="14.4"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 thickTop="1">
      <c r="A108" s="1823"/>
      <c r="B108" s="1828" t="s">
        <v>2392</v>
      </c>
      <c r="C108" s="1547"/>
      <c r="D108" s="1547"/>
      <c r="E108" s="1547"/>
      <c r="F108" s="1547"/>
      <c r="G108" s="1547"/>
      <c r="H108" s="1547"/>
      <c r="I108" s="1547"/>
      <c r="J108" s="1547"/>
      <c r="K108" s="473"/>
      <c r="L108" s="473"/>
      <c r="M108" s="1863"/>
      <c r="N108" s="2983"/>
      <c r="O108" s="2983"/>
      <c r="P108" s="2027"/>
      <c r="Q108" s="1791"/>
    </row>
    <row r="109" spans="1:17" ht="14.4"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4.4"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4.4" thickBot="1">
      <c r="A111" s="1823"/>
      <c r="B111" s="1851"/>
      <c r="C111" s="1844"/>
      <c r="D111" s="1844"/>
      <c r="E111" s="1844"/>
      <c r="F111" s="1844"/>
      <c r="G111" s="1867"/>
      <c r="H111" s="1867"/>
      <c r="I111" s="1867"/>
      <c r="J111" s="1867"/>
      <c r="K111" s="1867"/>
      <c r="L111" s="1867"/>
      <c r="M111" s="1868"/>
      <c r="N111" s="2984"/>
      <c r="O111" s="2984"/>
      <c r="P111" s="2027"/>
      <c r="Q111" s="1791"/>
    </row>
    <row r="112" spans="1:17" ht="14.4"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4.4"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4.4"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4.4" thickBot="1">
      <c r="A115" s="1839"/>
      <c r="B115" s="1834"/>
      <c r="C115" s="1801"/>
      <c r="D115" s="2031"/>
      <c r="E115" s="2031"/>
      <c r="F115" s="2031"/>
      <c r="G115" s="2031"/>
      <c r="H115" s="2031"/>
      <c r="I115" s="2031"/>
      <c r="J115" s="2031"/>
      <c r="K115" s="2031"/>
      <c r="L115" s="2031"/>
      <c r="M115" s="2032"/>
      <c r="N115" s="2984"/>
      <c r="O115" s="2984"/>
      <c r="P115" s="2028"/>
      <c r="Q115" s="1843"/>
    </row>
    <row r="116" spans="1:17" ht="14.4">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c r="A117" s="1823"/>
      <c r="B117" s="1834"/>
      <c r="C117" s="1871"/>
      <c r="D117" s="1871"/>
      <c r="E117" s="1871"/>
      <c r="F117" s="1871"/>
      <c r="G117" s="1871"/>
      <c r="H117" s="1871"/>
      <c r="I117" s="1871"/>
      <c r="J117" s="485"/>
      <c r="K117" s="485"/>
      <c r="L117" s="485"/>
      <c r="M117" s="1872"/>
      <c r="N117" s="2983"/>
      <c r="O117" s="2983"/>
      <c r="P117" s="2027"/>
      <c r="Q117" s="1791"/>
    </row>
    <row r="118" spans="1:17" ht="14.4"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2428</v>
      </c>
      <c r="C119" s="1547"/>
      <c r="D119" s="1547"/>
      <c r="E119" s="1547"/>
      <c r="F119" s="1547"/>
      <c r="G119" s="1547"/>
      <c r="H119" s="1547"/>
      <c r="I119" s="1547"/>
      <c r="J119" s="1547"/>
      <c r="K119" s="473"/>
      <c r="L119" s="473"/>
      <c r="M119" s="1863"/>
      <c r="N119" s="2983"/>
      <c r="O119" s="2983"/>
      <c r="P119" s="2027"/>
      <c r="Q119" s="1791"/>
    </row>
    <row r="120" spans="1:17" ht="14.4"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2429</v>
      </c>
      <c r="C121" s="468"/>
      <c r="D121" s="468"/>
      <c r="E121" s="468"/>
      <c r="F121" s="1547"/>
      <c r="G121" s="1547"/>
      <c r="H121" s="1547"/>
      <c r="I121" s="1547"/>
      <c r="J121" s="1547"/>
      <c r="K121" s="473"/>
      <c r="L121" s="473"/>
      <c r="M121" s="1863"/>
      <c r="N121" s="2983"/>
      <c r="O121" s="2983"/>
      <c r="P121" s="2027"/>
      <c r="Q121" s="1791"/>
    </row>
    <row r="122" spans="1:17" ht="14.4"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5"/>
      <c r="O123" s="2985"/>
      <c r="P123" s="2028"/>
      <c r="Q123" s="1843"/>
    </row>
    <row r="124" spans="1:17" s="1741" customFormat="1" ht="14.4"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2431</v>
      </c>
      <c r="C125" s="468"/>
      <c r="D125" s="468"/>
      <c r="E125" s="1547"/>
      <c r="F125" s="1547"/>
      <c r="G125" s="1547"/>
      <c r="H125" s="1547"/>
      <c r="I125" s="1547"/>
      <c r="J125" s="1547"/>
      <c r="K125" s="473"/>
      <c r="L125" s="473"/>
      <c r="M125" s="1863"/>
      <c r="N125" s="2983"/>
      <c r="O125" s="2983"/>
      <c r="P125" s="2027"/>
      <c r="Q125" s="1791"/>
    </row>
    <row r="126" spans="1:17" ht="14.4"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4.4"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4.4" thickBot="1">
      <c r="A128" s="1823"/>
      <c r="B128" s="1831"/>
      <c r="C128" s="1844"/>
      <c r="D128" s="1844"/>
      <c r="E128" s="1844"/>
      <c r="F128" s="1844"/>
      <c r="G128" s="1825"/>
      <c r="H128" s="1825"/>
      <c r="I128" s="1825"/>
      <c r="J128" s="1825"/>
      <c r="K128" s="1825"/>
      <c r="L128" s="1825"/>
      <c r="M128" s="1826"/>
      <c r="N128" s="2984"/>
      <c r="O128" s="2984"/>
      <c r="P128" s="2027"/>
      <c r="Q128" s="1791"/>
    </row>
    <row r="129" spans="1:17" ht="14.4"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4.4"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4.4"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4.4"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3" customWidth="1"/>
    <col min="2" max="3" width="12.44140625" style="1313" customWidth="1"/>
    <col min="4" max="6" width="8.109375" style="1313"/>
    <col min="7" max="7" width="17.44140625" style="1313" customWidth="1"/>
    <col min="8" max="16384" width="8.109375" style="1313"/>
  </cols>
  <sheetData>
    <row r="1" spans="1:7" ht="22.8">
      <c r="A1" s="1311" t="s">
        <v>1197</v>
      </c>
      <c r="B1" s="1312"/>
      <c r="C1" s="1312"/>
      <c r="D1" s="1312"/>
      <c r="E1" s="1312"/>
      <c r="F1" s="1312"/>
      <c r="G1" s="1312"/>
    </row>
    <row r="2" spans="1:7">
      <c r="A2" s="1314"/>
    </row>
    <row r="3" spans="1:7" s="1317" customFormat="1" ht="17.399999999999999">
      <c r="A3" s="1315" t="str">
        <f>IF(ISNUMBER(FIND("公司",项目基本情况!B4)),项目基本情况!B4&amp;"：",项目基本情况!B4&amp;"  先生/女士：")</f>
        <v>xx  先生/女士：</v>
      </c>
      <c r="B3" s="1316"/>
      <c r="C3" s="1316"/>
      <c r="D3" s="1316"/>
      <c r="E3" s="1316"/>
      <c r="F3" s="1316"/>
      <c r="G3" s="1316"/>
    </row>
    <row r="4" spans="1:7" ht="17.399999999999999">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7.399999999999999">
      <c r="A5" s="1319" t="s">
        <v>1198</v>
      </c>
    </row>
    <row r="6" spans="1:7" s="1320" customFormat="1" ht="52.2">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7.399999999999999">
      <c r="A7" s="1319" t="s">
        <v>1199</v>
      </c>
    </row>
    <row r="8" spans="1:7" ht="52.2">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7.399999999999999">
      <c r="A9" s="1316" t="s">
        <v>1200</v>
      </c>
      <c r="B9" s="1323"/>
    </row>
    <row r="10" spans="1:7" ht="17.399999999999999">
      <c r="A10" s="1324" t="str">
        <f>TEXT(项目基本情况!D2,"yyyy年m月d日;;")&amp;IF(项目基本情况!B2=项目基本情况!D2,"（评估专业人员实地查勘之日）","")</f>
        <v>2021年12月31日</v>
      </c>
      <c r="B10" s="1325"/>
      <c r="C10" s="1325"/>
      <c r="D10" s="1325"/>
      <c r="E10" s="1325"/>
      <c r="F10" s="1325"/>
      <c r="G10" s="1325"/>
    </row>
    <row r="11" spans="1:7" ht="17.399999999999999">
      <c r="A11" s="1316" t="s">
        <v>1201</v>
      </c>
    </row>
    <row r="12" spans="1:7" ht="69.599999999999994">
      <c r="A12" s="1318" t="s">
        <v>1202</v>
      </c>
      <c r="B12" s="1318"/>
      <c r="C12" s="1318"/>
      <c r="D12" s="1318"/>
      <c r="E12" s="1318"/>
      <c r="F12" s="1318"/>
      <c r="G12" s="1318"/>
    </row>
    <row r="13" spans="1:7" ht="52.2">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4.799999999999997">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70.8">
      <c r="A15" s="1318" t="s">
        <v>1196</v>
      </c>
      <c r="B15" s="1318"/>
      <c r="C15" s="1318"/>
      <c r="D15" s="1318"/>
      <c r="E15" s="1318"/>
      <c r="F15" s="1318"/>
      <c r="G15" s="1318"/>
    </row>
    <row r="16" spans="1:7" ht="52.2">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7.399999999999999">
      <c r="A17" s="1316" t="s">
        <v>1195</v>
      </c>
    </row>
    <row r="18" spans="1:1" ht="17.399999999999999">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589" t="s">
        <v>2202</v>
      </c>
      <c r="Q7" s="3597"/>
      <c r="R7" s="627" t="s">
        <v>25</v>
      </c>
      <c r="S7" s="628">
        <f t="shared" ref="S7:S15" si="0">F7</f>
        <v>0</v>
      </c>
      <c r="T7" s="627" t="s">
        <v>25</v>
      </c>
      <c r="U7" s="628">
        <f t="shared" ref="U7:U15" si="1">H7</f>
        <v>0</v>
      </c>
      <c r="V7" s="627" t="s">
        <v>25</v>
      </c>
      <c r="W7" s="628">
        <f t="shared" ref="W7:W15" si="2">J7</f>
        <v>0</v>
      </c>
      <c r="X7" s="629"/>
      <c r="Y7" s="3589" t="s">
        <v>2202</v>
      </c>
      <c r="Z7" s="3590"/>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40" si="3">D8/F8</f>
        <v>#DIV/0!</v>
      </c>
      <c r="AB8" s="630" t="e">
        <f t="shared" ref="AB8:AB40" si="4">D8/H8</f>
        <v>#DIV/0!</v>
      </c>
      <c r="AC8" s="630" t="e">
        <f t="shared" ref="AC8:AC40" si="5">D8/J8</f>
        <v>#DIV/0!</v>
      </c>
    </row>
    <row r="9" spans="1:29" s="25" customFormat="1" ht="14.4">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581" t="s">
        <v>2208</v>
      </c>
      <c r="Q9" s="1296" t="str">
        <f t="shared" ref="Q9:Q15" si="6">B9</f>
        <v>用途</v>
      </c>
      <c r="R9" s="627" t="s">
        <v>25</v>
      </c>
      <c r="S9" s="628">
        <f t="shared" si="0"/>
        <v>100</v>
      </c>
      <c r="T9" s="627" t="s">
        <v>25</v>
      </c>
      <c r="U9" s="628">
        <f t="shared" si="1"/>
        <v>100</v>
      </c>
      <c r="V9" s="627" t="s">
        <v>25</v>
      </c>
      <c r="W9" s="628">
        <f t="shared" si="2"/>
        <v>100</v>
      </c>
      <c r="X9" s="629"/>
      <c r="Y9" s="3600"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110</v>
      </c>
      <c r="G10" s="322"/>
      <c r="H10" s="29">
        <f>ROUND(100/'数据-取费表'!B14,0)</f>
        <v>110</v>
      </c>
      <c r="I10" s="322"/>
      <c r="J10" s="29">
        <f>ROUND(100/'数据-取费表'!B14,0)</f>
        <v>110</v>
      </c>
      <c r="K10" s="553"/>
      <c r="L10" s="2997"/>
      <c r="M10" s="2998"/>
      <c r="N10" s="2998"/>
      <c r="O10" s="2999"/>
      <c r="P10" s="3581"/>
      <c r="Q10" s="1296" t="str">
        <f t="shared" si="6"/>
        <v>土地使用年限（年）</v>
      </c>
      <c r="R10" s="627" t="s">
        <v>25</v>
      </c>
      <c r="S10" s="628">
        <f t="shared" si="0"/>
        <v>110</v>
      </c>
      <c r="T10" s="627" t="s">
        <v>25</v>
      </c>
      <c r="U10" s="628">
        <f t="shared" si="1"/>
        <v>110</v>
      </c>
      <c r="V10" s="627" t="s">
        <v>25</v>
      </c>
      <c r="W10" s="628">
        <f t="shared" si="2"/>
        <v>110</v>
      </c>
      <c r="X10" s="629"/>
      <c r="Y10" s="3600"/>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581"/>
      <c r="Q11" s="1296" t="str">
        <f t="shared" si="6"/>
        <v>容积率</v>
      </c>
      <c r="R11" s="627" t="s">
        <v>25</v>
      </c>
      <c r="S11" s="628" t="e">
        <f t="shared" si="0"/>
        <v>#N/A</v>
      </c>
      <c r="T11" s="627" t="s">
        <v>25</v>
      </c>
      <c r="U11" s="628" t="e">
        <f t="shared" si="1"/>
        <v>#N/A</v>
      </c>
      <c r="V11" s="627" t="s">
        <v>25</v>
      </c>
      <c r="W11" s="628" t="e">
        <f t="shared" si="2"/>
        <v>#N/A</v>
      </c>
      <c r="X11" s="629"/>
      <c r="Y11" s="3600"/>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15.6"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581"/>
      <c r="Q14" s="1296">
        <f t="shared" si="6"/>
        <v>111</v>
      </c>
      <c r="R14" s="627" t="s">
        <v>25</v>
      </c>
      <c r="S14" s="628">
        <f t="shared" si="0"/>
        <v>100</v>
      </c>
      <c r="T14" s="627" t="s">
        <v>25</v>
      </c>
      <c r="U14" s="628">
        <f t="shared" si="1"/>
        <v>100</v>
      </c>
      <c r="V14" s="627" t="s">
        <v>25</v>
      </c>
      <c r="W14" s="628">
        <f t="shared" si="2"/>
        <v>100</v>
      </c>
      <c r="X14" s="629"/>
      <c r="Y14" s="3600"/>
      <c r="Z14" s="19">
        <f t="shared" si="7"/>
        <v>111</v>
      </c>
      <c r="AA14" s="630">
        <f t="shared" si="3"/>
        <v>1</v>
      </c>
      <c r="AB14" s="630">
        <f t="shared" si="4"/>
        <v>1</v>
      </c>
      <c r="AC14" s="630">
        <f t="shared" si="5"/>
        <v>1</v>
      </c>
    </row>
    <row r="15" spans="1:29" ht="69">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598" t="s">
        <v>2213</v>
      </c>
      <c r="Q15" s="1303" t="str">
        <f t="shared" si="6"/>
        <v>产业集聚程度</v>
      </c>
      <c r="R15" s="631" t="s">
        <v>25</v>
      </c>
      <c r="S15" s="632">
        <f t="shared" si="0"/>
        <v>100</v>
      </c>
      <c r="T15" s="631" t="s">
        <v>25</v>
      </c>
      <c r="U15" s="632">
        <f t="shared" si="1"/>
        <v>100</v>
      </c>
      <c r="V15" s="631" t="s">
        <v>25</v>
      </c>
      <c r="W15" s="632">
        <f t="shared" si="2"/>
        <v>100</v>
      </c>
      <c r="X15" s="1304"/>
      <c r="Y15" s="3598"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599"/>
      <c r="Q16" s="1303"/>
      <c r="R16" s="631"/>
      <c r="S16" s="632"/>
      <c r="T16" s="631"/>
      <c r="U16" s="632"/>
      <c r="V16" s="631"/>
      <c r="W16" s="632"/>
      <c r="X16" s="1304"/>
      <c r="Y16" s="3599"/>
      <c r="Z16" s="1305"/>
      <c r="AA16" s="1306">
        <v>1</v>
      </c>
      <c r="AB16" s="1306">
        <v>1</v>
      </c>
      <c r="AC16" s="1306">
        <v>1</v>
      </c>
    </row>
    <row r="17" spans="1:29" ht="96.6">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599"/>
      <c r="Q17" s="1303" t="str">
        <f>B17</f>
        <v>交通便捷度</v>
      </c>
      <c r="R17" s="631" t="s">
        <v>25</v>
      </c>
      <c r="S17" s="632">
        <f>F17</f>
        <v>100</v>
      </c>
      <c r="T17" s="631" t="s">
        <v>25</v>
      </c>
      <c r="U17" s="632">
        <f>H17</f>
        <v>100</v>
      </c>
      <c r="V17" s="631" t="s">
        <v>25</v>
      </c>
      <c r="W17" s="632">
        <f>J17</f>
        <v>100</v>
      </c>
      <c r="X17" s="1304"/>
      <c r="Y17" s="3599"/>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599"/>
      <c r="Q18" s="1303"/>
      <c r="R18" s="631"/>
      <c r="S18" s="632"/>
      <c r="T18" s="631"/>
      <c r="U18" s="632"/>
      <c r="V18" s="631"/>
      <c r="W18" s="632"/>
      <c r="X18" s="1304"/>
      <c r="Y18" s="3599"/>
      <c r="Z18" s="1305"/>
      <c r="AA18" s="1306">
        <v>1</v>
      </c>
      <c r="AB18" s="1306">
        <v>1</v>
      </c>
      <c r="AC18" s="1306">
        <v>1</v>
      </c>
    </row>
    <row r="19" spans="1:29" ht="28.8">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599"/>
      <c r="Q19" s="1303" t="str">
        <f t="shared" ref="Q19:Q33" si="8">B19</f>
        <v>区域土地利用方向</v>
      </c>
      <c r="R19" s="631" t="s">
        <v>25</v>
      </c>
      <c r="S19" s="632">
        <f>F19</f>
        <v>100</v>
      </c>
      <c r="T19" s="631" t="s">
        <v>25</v>
      </c>
      <c r="U19" s="632">
        <f>H19</f>
        <v>100</v>
      </c>
      <c r="V19" s="631" t="s">
        <v>25</v>
      </c>
      <c r="W19" s="632">
        <f>J19</f>
        <v>100</v>
      </c>
      <c r="X19" s="1304"/>
      <c r="Y19" s="3599"/>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2"/>
      <c r="M20" s="2993"/>
      <c r="N20" s="2993"/>
      <c r="O20" s="3001"/>
      <c r="P20" s="3599"/>
      <c r="Q20" s="1303"/>
      <c r="R20" s="631"/>
      <c r="S20" s="632"/>
      <c r="T20" s="631"/>
      <c r="U20" s="632"/>
      <c r="V20" s="631"/>
      <c r="W20" s="632"/>
      <c r="X20" s="1304"/>
      <c r="Y20" s="3599"/>
      <c r="Z20" s="1305"/>
      <c r="AA20" s="1306"/>
      <c r="AB20" s="1306"/>
      <c r="AC20" s="1306"/>
    </row>
    <row r="21" spans="1:29" ht="82.8">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599"/>
      <c r="Q21" s="1303" t="str">
        <f t="shared" si="8"/>
        <v>环境状况</v>
      </c>
      <c r="R21" s="631" t="s">
        <v>25</v>
      </c>
      <c r="S21" s="632">
        <f>F21</f>
        <v>100</v>
      </c>
      <c r="T21" s="631" t="s">
        <v>25</v>
      </c>
      <c r="U21" s="632">
        <f>H21</f>
        <v>100</v>
      </c>
      <c r="V21" s="631" t="s">
        <v>25</v>
      </c>
      <c r="W21" s="632">
        <f>J21</f>
        <v>100</v>
      </c>
      <c r="X21" s="1304"/>
      <c r="Y21" s="3599"/>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599"/>
      <c r="Q22" s="1303"/>
      <c r="R22" s="631"/>
      <c r="S22" s="632"/>
      <c r="T22" s="631"/>
      <c r="U22" s="632"/>
      <c r="V22" s="631"/>
      <c r="W22" s="632"/>
      <c r="X22" s="1304"/>
      <c r="Y22" s="3599"/>
      <c r="Z22" s="1305"/>
      <c r="AA22" s="1306">
        <v>1</v>
      </c>
      <c r="AB22" s="1306">
        <v>1</v>
      </c>
      <c r="AC22" s="1306">
        <v>1</v>
      </c>
    </row>
    <row r="23" spans="1:29" s="25" customFormat="1" ht="41.4">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599"/>
      <c r="Q23" s="1296" t="str">
        <f t="shared" si="8"/>
        <v>公共配套设施</v>
      </c>
      <c r="R23" s="627" t="s">
        <v>25</v>
      </c>
      <c r="S23" s="628">
        <f>F23</f>
        <v>100</v>
      </c>
      <c r="T23" s="627" t="s">
        <v>25</v>
      </c>
      <c r="U23" s="628">
        <f>H23</f>
        <v>100</v>
      </c>
      <c r="V23" s="627" t="s">
        <v>25</v>
      </c>
      <c r="W23" s="628">
        <f>J23</f>
        <v>100</v>
      </c>
      <c r="X23" s="629"/>
      <c r="Y23" s="3599"/>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599"/>
      <c r="Q24" s="1296"/>
      <c r="R24" s="627"/>
      <c r="S24" s="628"/>
      <c r="T24" s="627"/>
      <c r="U24" s="628"/>
      <c r="V24" s="627"/>
      <c r="W24" s="628"/>
      <c r="X24" s="629"/>
      <c r="Y24" s="3599"/>
      <c r="Z24" s="19"/>
      <c r="AA24" s="630">
        <v>1</v>
      </c>
      <c r="AB24" s="630">
        <v>1</v>
      </c>
      <c r="AC24" s="630">
        <v>1</v>
      </c>
    </row>
    <row r="25" spans="1:29" s="25" customFormat="1" ht="41.4">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599"/>
      <c r="Q25" s="1296" t="str">
        <f t="shared" ref="Q25" si="9">B25</f>
        <v>基础设施水平</v>
      </c>
      <c r="R25" s="627" t="s">
        <v>25</v>
      </c>
      <c r="S25" s="628">
        <f>F25</f>
        <v>100</v>
      </c>
      <c r="T25" s="627" t="s">
        <v>25</v>
      </c>
      <c r="U25" s="628">
        <f>H25</f>
        <v>100</v>
      </c>
      <c r="V25" s="627" t="s">
        <v>25</v>
      </c>
      <c r="W25" s="628">
        <f>J25</f>
        <v>100</v>
      </c>
      <c r="X25" s="629"/>
      <c r="Y25" s="3599"/>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599"/>
      <c r="Q26" s="1296"/>
      <c r="R26" s="627"/>
      <c r="S26" s="628"/>
      <c r="T26" s="627"/>
      <c r="U26" s="628"/>
      <c r="V26" s="627"/>
      <c r="W26" s="628"/>
      <c r="X26" s="629"/>
      <c r="Y26" s="359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599"/>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599"/>
      <c r="Z27" s="1305" t="str">
        <f t="shared" ref="Z27:Z40" si="13">Q27</f>
        <v>临街状况</v>
      </c>
      <c r="AA27" s="1306">
        <f t="shared" si="3"/>
        <v>1</v>
      </c>
      <c r="AB27" s="1306">
        <f t="shared" si="4"/>
        <v>1</v>
      </c>
      <c r="AC27" s="1306">
        <f t="shared" si="5"/>
        <v>1</v>
      </c>
    </row>
    <row r="28" spans="1:29" ht="28.8">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599"/>
      <c r="Q28" s="1303" t="str">
        <f t="shared" si="8"/>
        <v>毗邻道路的类型与等级</v>
      </c>
      <c r="R28" s="631" t="s">
        <v>25</v>
      </c>
      <c r="S28" s="632">
        <f t="shared" si="10"/>
        <v>100</v>
      </c>
      <c r="T28" s="631" t="s">
        <v>25</v>
      </c>
      <c r="U28" s="632">
        <f t="shared" si="11"/>
        <v>100</v>
      </c>
      <c r="V28" s="631" t="s">
        <v>25</v>
      </c>
      <c r="W28" s="632">
        <f t="shared" si="12"/>
        <v>100</v>
      </c>
      <c r="X28" s="1304"/>
      <c r="Y28" s="3599"/>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599"/>
      <c r="Q29" s="1303"/>
      <c r="R29" s="631"/>
      <c r="S29" s="632"/>
      <c r="T29" s="631"/>
      <c r="U29" s="632"/>
      <c r="V29" s="631"/>
      <c r="W29" s="632"/>
      <c r="X29" s="1304"/>
      <c r="Y29" s="3599"/>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599"/>
      <c r="Q30" s="1303" t="str">
        <f t="shared" si="8"/>
        <v>土地级别</v>
      </c>
      <c r="R30" s="631" t="s">
        <v>25</v>
      </c>
      <c r="S30" s="632">
        <f t="shared" si="10"/>
        <v>100</v>
      </c>
      <c r="T30" s="631" t="s">
        <v>25</v>
      </c>
      <c r="U30" s="632">
        <f t="shared" si="11"/>
        <v>100</v>
      </c>
      <c r="V30" s="631" t="s">
        <v>25</v>
      </c>
      <c r="W30" s="632">
        <f t="shared" si="12"/>
        <v>100</v>
      </c>
      <c r="X30" s="1304"/>
      <c r="Y30" s="3599"/>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599"/>
      <c r="Q31" s="1303">
        <f t="shared" si="8"/>
        <v>111</v>
      </c>
      <c r="R31" s="631" t="s">
        <v>25</v>
      </c>
      <c r="S31" s="632">
        <f t="shared" si="10"/>
        <v>100</v>
      </c>
      <c r="T31" s="631" t="s">
        <v>25</v>
      </c>
      <c r="U31" s="632">
        <f t="shared" si="11"/>
        <v>100</v>
      </c>
      <c r="V31" s="631" t="s">
        <v>25</v>
      </c>
      <c r="W31" s="632">
        <f t="shared" si="12"/>
        <v>100</v>
      </c>
      <c r="X31" s="1304"/>
      <c r="Y31" s="3599"/>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586" t="s">
        <v>2219</v>
      </c>
      <c r="Q32" s="1303">
        <f t="shared" si="8"/>
        <v>111</v>
      </c>
      <c r="R32" s="631" t="s">
        <v>25</v>
      </c>
      <c r="S32" s="632">
        <f t="shared" si="10"/>
        <v>100</v>
      </c>
      <c r="T32" s="631" t="s">
        <v>25</v>
      </c>
      <c r="U32" s="632">
        <f t="shared" si="11"/>
        <v>100</v>
      </c>
      <c r="V32" s="631" t="s">
        <v>25</v>
      </c>
      <c r="W32" s="632">
        <f t="shared" si="12"/>
        <v>100</v>
      </c>
      <c r="X32" s="1304"/>
      <c r="Y32" s="3587" t="s">
        <v>2219</v>
      </c>
      <c r="Z32" s="1305">
        <f t="shared" si="13"/>
        <v>111</v>
      </c>
      <c r="AA32" s="1306">
        <f t="shared" si="3"/>
        <v>1</v>
      </c>
      <c r="AB32" s="1306">
        <f t="shared" si="4"/>
        <v>1</v>
      </c>
      <c r="AC32" s="1306">
        <f t="shared" si="5"/>
        <v>1</v>
      </c>
    </row>
    <row r="33" spans="1:29" s="359" customFormat="1" ht="15.6"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587"/>
      <c r="Q33" s="1303">
        <f t="shared" si="8"/>
        <v>111</v>
      </c>
      <c r="R33" s="634" t="s">
        <v>25</v>
      </c>
      <c r="S33" s="635">
        <f t="shared" si="10"/>
        <v>100</v>
      </c>
      <c r="T33" s="634" t="s">
        <v>25</v>
      </c>
      <c r="U33" s="635">
        <f t="shared" si="11"/>
        <v>100</v>
      </c>
      <c r="V33" s="634" t="s">
        <v>25</v>
      </c>
      <c r="W33" s="635">
        <f t="shared" si="12"/>
        <v>100</v>
      </c>
      <c r="X33" s="636"/>
      <c r="Y33" s="3587"/>
      <c r="Z33" s="637">
        <f t="shared" si="13"/>
        <v>111</v>
      </c>
      <c r="AA33" s="1306">
        <f t="shared" si="3"/>
        <v>1</v>
      </c>
      <c r="AB33" s="1306">
        <f t="shared" si="4"/>
        <v>1</v>
      </c>
      <c r="AC33" s="1306">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587"/>
      <c r="Q34" s="1303" t="str">
        <f>B34</f>
        <v>宗地面积</v>
      </c>
      <c r="R34" s="631" t="s">
        <v>25</v>
      </c>
      <c r="S34" s="632" t="e">
        <f t="shared" si="10"/>
        <v>#N/A</v>
      </c>
      <c r="T34" s="631" t="s">
        <v>25</v>
      </c>
      <c r="U34" s="632" t="e">
        <f t="shared" si="11"/>
        <v>#N/A</v>
      </c>
      <c r="V34" s="631" t="s">
        <v>25</v>
      </c>
      <c r="W34" s="632" t="e">
        <f t="shared" si="12"/>
        <v>#N/A</v>
      </c>
      <c r="X34" s="1304"/>
      <c r="Y34" s="3587"/>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587"/>
      <c r="Q35" s="1303" t="str">
        <f t="shared" ref="Q35:Q40" si="14">B35</f>
        <v>宗地形状</v>
      </c>
      <c r="R35" s="631" t="s">
        <v>25</v>
      </c>
      <c r="S35" s="632">
        <f t="shared" si="10"/>
        <v>100</v>
      </c>
      <c r="T35" s="631" t="s">
        <v>25</v>
      </c>
      <c r="U35" s="632">
        <f t="shared" si="11"/>
        <v>100</v>
      </c>
      <c r="V35" s="631" t="s">
        <v>25</v>
      </c>
      <c r="W35" s="632">
        <f t="shared" si="12"/>
        <v>100</v>
      </c>
      <c r="X35" s="1304"/>
      <c r="Y35" s="3587"/>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587"/>
      <c r="Q36" s="1303" t="str">
        <f t="shared" si="14"/>
        <v>宗地开发程度</v>
      </c>
      <c r="R36" s="627" t="s">
        <v>25</v>
      </c>
      <c r="S36" s="628">
        <f t="shared" si="10"/>
        <v>100</v>
      </c>
      <c r="T36" s="627" t="s">
        <v>25</v>
      </c>
      <c r="U36" s="628">
        <f t="shared" si="11"/>
        <v>100</v>
      </c>
      <c r="V36" s="627" t="s">
        <v>25</v>
      </c>
      <c r="W36" s="628">
        <f t="shared" si="12"/>
        <v>100</v>
      </c>
      <c r="X36" s="629"/>
      <c r="Y36" s="3587"/>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587" t="s">
        <v>2219</v>
      </c>
      <c r="Q37" s="1303" t="str">
        <f t="shared" si="14"/>
        <v>工程地质条件</v>
      </c>
      <c r="R37" s="631" t="s">
        <v>25</v>
      </c>
      <c r="S37" s="632">
        <f t="shared" si="10"/>
        <v>100</v>
      </c>
      <c r="T37" s="631" t="s">
        <v>25</v>
      </c>
      <c r="U37" s="632">
        <f t="shared" si="11"/>
        <v>100</v>
      </c>
      <c r="V37" s="631" t="s">
        <v>25</v>
      </c>
      <c r="W37" s="632">
        <f t="shared" si="12"/>
        <v>100</v>
      </c>
      <c r="X37" s="1304"/>
      <c r="Y37" s="3587"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587"/>
      <c r="Q38" s="1303">
        <f t="shared" si="14"/>
        <v>111</v>
      </c>
      <c r="R38" s="631" t="s">
        <v>25</v>
      </c>
      <c r="S38" s="632">
        <f t="shared" si="10"/>
        <v>100</v>
      </c>
      <c r="T38" s="631" t="s">
        <v>25</v>
      </c>
      <c r="U38" s="632">
        <f t="shared" si="11"/>
        <v>100</v>
      </c>
      <c r="V38" s="631" t="s">
        <v>25</v>
      </c>
      <c r="W38" s="632">
        <f t="shared" si="12"/>
        <v>100</v>
      </c>
      <c r="X38" s="1304"/>
      <c r="Y38" s="3587"/>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587"/>
      <c r="Q39" s="1303">
        <f t="shared" si="14"/>
        <v>111</v>
      </c>
      <c r="R39" s="631" t="s">
        <v>25</v>
      </c>
      <c r="S39" s="632">
        <f t="shared" si="10"/>
        <v>100</v>
      </c>
      <c r="T39" s="631" t="s">
        <v>25</v>
      </c>
      <c r="U39" s="632">
        <f t="shared" si="11"/>
        <v>100</v>
      </c>
      <c r="V39" s="631" t="s">
        <v>25</v>
      </c>
      <c r="W39" s="632">
        <f t="shared" si="12"/>
        <v>100</v>
      </c>
      <c r="X39" s="1304"/>
      <c r="Y39" s="3587"/>
      <c r="Z39" s="1305">
        <f t="shared" si="13"/>
        <v>111</v>
      </c>
      <c r="AA39" s="1306">
        <f t="shared" si="3"/>
        <v>1</v>
      </c>
      <c r="AB39" s="1306">
        <f t="shared" si="4"/>
        <v>1</v>
      </c>
      <c r="AC39" s="1306">
        <f t="shared" si="5"/>
        <v>1</v>
      </c>
    </row>
    <row r="40" spans="1:29" s="359" customFormat="1" ht="15.6"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587"/>
      <c r="Q40" s="1303">
        <f t="shared" si="14"/>
        <v>111</v>
      </c>
      <c r="R40" s="634" t="s">
        <v>25</v>
      </c>
      <c r="S40" s="635">
        <f t="shared" si="10"/>
        <v>100</v>
      </c>
      <c r="T40" s="634" t="s">
        <v>25</v>
      </c>
      <c r="U40" s="635">
        <f t="shared" si="11"/>
        <v>100</v>
      </c>
      <c r="V40" s="634" t="s">
        <v>25</v>
      </c>
      <c r="W40" s="635">
        <f t="shared" si="12"/>
        <v>100</v>
      </c>
      <c r="X40" s="636"/>
      <c r="Y40" s="3587"/>
      <c r="Z40" s="637">
        <f t="shared" si="13"/>
        <v>111</v>
      </c>
      <c r="AA40" s="1306">
        <f t="shared" si="3"/>
        <v>1</v>
      </c>
      <c r="AB40" s="1306">
        <f t="shared" si="4"/>
        <v>1</v>
      </c>
      <c r="AC40" s="1306">
        <f t="shared" si="5"/>
        <v>1</v>
      </c>
    </row>
    <row r="41" spans="1:29" ht="14.4">
      <c r="A41" s="367" t="s">
        <v>2361</v>
      </c>
      <c r="B41" s="1560" t="s">
        <v>2436</v>
      </c>
      <c r="C41" s="562" t="s">
        <v>1</v>
      </c>
      <c r="D41" s="369"/>
      <c r="E41" s="370"/>
      <c r="F41" s="371"/>
      <c r="G41" s="372"/>
      <c r="H41" s="373"/>
      <c r="I41" s="370"/>
      <c r="J41" s="373"/>
      <c r="K41" s="640"/>
      <c r="L41" s="3004"/>
      <c r="M41" s="2993"/>
      <c r="N41" s="2993"/>
      <c r="P41" s="3581" t="str">
        <f>A41</f>
        <v>成交单价</v>
      </c>
      <c r="Q41" s="3581"/>
      <c r="R41" s="3614">
        <f>E41</f>
        <v>0</v>
      </c>
      <c r="S41" s="3614"/>
      <c r="T41" s="3614">
        <f>G41</f>
        <v>0</v>
      </c>
      <c r="U41" s="3614"/>
      <c r="V41" s="3614">
        <f>I41</f>
        <v>0</v>
      </c>
      <c r="W41" s="3614"/>
      <c r="X41" s="618"/>
      <c r="Y41" s="638"/>
      <c r="Z41" s="618"/>
      <c r="AA41" s="618"/>
      <c r="AB41" s="618"/>
      <c r="AC41" s="618"/>
    </row>
    <row r="42" spans="1:29" ht="15" thickBot="1">
      <c r="A42" s="374" t="s">
        <v>2314</v>
      </c>
      <c r="B42" s="563"/>
      <c r="C42" s="377" t="e">
        <f>R43</f>
        <v>#DIV/0!</v>
      </c>
      <c r="D42" s="1766" t="s">
        <v>2687</v>
      </c>
      <c r="E42" s="377" t="e">
        <f>R42</f>
        <v>#DIV/0!</v>
      </c>
      <c r="F42" s="1768"/>
      <c r="G42" s="376" t="e">
        <f>T42</f>
        <v>#DIV/0!</v>
      </c>
      <c r="H42" s="1768"/>
      <c r="I42" s="377" t="e">
        <f>V42</f>
        <v>#DIV/0!</v>
      </c>
      <c r="J42" s="1768"/>
      <c r="K42" s="2480">
        <f>F42+H42+J42</f>
        <v>0</v>
      </c>
      <c r="L42" s="3004"/>
      <c r="M42" s="2993"/>
      <c r="N42" s="2993"/>
      <c r="P42" s="3581" t="str">
        <f>A42</f>
        <v>比较价值（元/平方米）</v>
      </c>
      <c r="Q42" s="3581"/>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4"/>
      <c r="M43" s="2993"/>
      <c r="N43" s="2993"/>
      <c r="P43" s="3583" t="str">
        <f>A43</f>
        <v>估价对象XX用房的比较价值（楼面单价，元/平方米）</v>
      </c>
      <c r="Q43" s="3584"/>
      <c r="R43" s="3701" t="e">
        <f>ROUND(IF(D42="简单平均",AVERAGE(R42:W42),R42*F42+T42*H42+V42*J42),0)</f>
        <v>#DIV/0!</v>
      </c>
      <c r="S43" s="3701"/>
      <c r="T43" s="3701"/>
      <c r="U43" s="3701"/>
      <c r="V43" s="3701"/>
      <c r="W43" s="3701"/>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4.4" thickBot="1">
      <c r="B49" s="3006"/>
      <c r="C49" s="3009"/>
      <c r="K49" s="3008"/>
      <c r="L49" s="3005"/>
    </row>
    <row r="50" spans="1:17" ht="28.8">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 thickBot="1">
      <c r="A67" s="400" t="s">
        <v>2239</v>
      </c>
      <c r="B67" s="401"/>
      <c r="C67" s="402"/>
      <c r="D67" s="403"/>
      <c r="E67" s="403"/>
      <c r="F67" s="403"/>
      <c r="G67" s="403"/>
      <c r="H67" s="403"/>
      <c r="I67" s="403"/>
      <c r="J67" s="403"/>
      <c r="K67" s="403"/>
      <c r="L67" s="403"/>
      <c r="M67" s="404"/>
      <c r="N67" s="403"/>
      <c r="O67" s="1155"/>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3" t="s">
        <v>779</v>
      </c>
      <c r="B1" s="3703"/>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7" t="s">
        <v>571</v>
      </c>
      <c r="C61" s="682" t="s">
        <v>572</v>
      </c>
      <c r="D61" s="682" t="s">
        <v>573</v>
      </c>
      <c r="E61" s="781">
        <v>0.5</v>
      </c>
      <c r="F61" s="768">
        <v>80</v>
      </c>
    </row>
    <row r="62" spans="1:8" s="764" customFormat="1" ht="36">
      <c r="A62" s="768">
        <v>2</v>
      </c>
      <c r="B62" s="3707"/>
      <c r="C62" s="682" t="s">
        <v>574</v>
      </c>
      <c r="D62" s="682" t="s">
        <v>575</v>
      </c>
      <c r="E62" s="781">
        <v>0.5</v>
      </c>
      <c r="F62" s="768">
        <v>80</v>
      </c>
    </row>
    <row r="63" spans="1:8" s="764" customFormat="1" ht="48">
      <c r="A63" s="768">
        <v>3</v>
      </c>
      <c r="B63" s="3707"/>
      <c r="C63" s="682" t="s">
        <v>576</v>
      </c>
      <c r="D63" s="682" t="s">
        <v>577</v>
      </c>
      <c r="E63" s="781">
        <v>0.5</v>
      </c>
      <c r="F63" s="768">
        <v>80</v>
      </c>
    </row>
    <row r="64" spans="1:8" s="764" customFormat="1" ht="48">
      <c r="A64" s="768">
        <v>4</v>
      </c>
      <c r="B64" s="3707"/>
      <c r="C64" s="682" t="s">
        <v>578</v>
      </c>
      <c r="D64" s="682" t="s">
        <v>579</v>
      </c>
      <c r="E64" s="781">
        <v>0.4</v>
      </c>
      <c r="F64" s="768">
        <v>60</v>
      </c>
    </row>
    <row r="65" spans="1:6" s="764" customFormat="1" ht="48">
      <c r="A65" s="768">
        <v>5</v>
      </c>
      <c r="B65" s="3707"/>
      <c r="C65" s="682" t="s">
        <v>580</v>
      </c>
      <c r="D65" s="682" t="s">
        <v>581</v>
      </c>
      <c r="E65" s="781">
        <v>0.2</v>
      </c>
      <c r="F65" s="768">
        <v>30</v>
      </c>
    </row>
    <row r="66" spans="1:6" s="764" customFormat="1" ht="48">
      <c r="A66" s="768">
        <v>6</v>
      </c>
      <c r="B66" s="3707"/>
      <c r="C66" s="682" t="s">
        <v>582</v>
      </c>
      <c r="D66" s="682" t="s">
        <v>583</v>
      </c>
      <c r="E66" s="781">
        <v>0.3</v>
      </c>
      <c r="F66" s="768">
        <v>50</v>
      </c>
    </row>
    <row r="67" spans="1:6" s="764" customFormat="1" ht="48">
      <c r="A67" s="768">
        <v>7</v>
      </c>
      <c r="B67" s="3707"/>
      <c r="C67" s="682" t="s">
        <v>584</v>
      </c>
      <c r="D67" s="682" t="s">
        <v>585</v>
      </c>
      <c r="E67" s="781">
        <v>0.2</v>
      </c>
      <c r="F67" s="768">
        <v>30</v>
      </c>
    </row>
    <row r="68" spans="1:6" s="764" customFormat="1" ht="48">
      <c r="A68" s="768">
        <v>8</v>
      </c>
      <c r="B68" s="3707"/>
      <c r="C68" s="682" t="s">
        <v>586</v>
      </c>
      <c r="D68" s="682" t="s">
        <v>587</v>
      </c>
      <c r="E68" s="781">
        <v>0.2</v>
      </c>
      <c r="F68" s="768">
        <v>30</v>
      </c>
    </row>
    <row r="69" spans="1:6" s="764" customFormat="1" ht="48">
      <c r="A69" s="768">
        <v>9</v>
      </c>
      <c r="B69" s="3707"/>
      <c r="C69" s="682" t="s">
        <v>588</v>
      </c>
      <c r="D69" s="682" t="s">
        <v>589</v>
      </c>
      <c r="E69" s="781">
        <v>0.2</v>
      </c>
      <c r="F69" s="768">
        <v>30</v>
      </c>
    </row>
    <row r="70" spans="1:6" s="764" customFormat="1" ht="60">
      <c r="A70" s="768">
        <v>10</v>
      </c>
      <c r="B70" s="3707"/>
      <c r="C70" s="682" t="s">
        <v>590</v>
      </c>
      <c r="D70" s="682" t="s">
        <v>591</v>
      </c>
      <c r="E70" s="781">
        <v>0.2</v>
      </c>
      <c r="F70" s="768">
        <v>30</v>
      </c>
    </row>
    <row r="71" spans="1:6" s="764" customFormat="1" ht="60">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36">
      <c r="A73" s="768">
        <v>13</v>
      </c>
      <c r="B73" s="3707"/>
      <c r="C73" s="682" t="s">
        <v>596</v>
      </c>
      <c r="D73" s="682" t="s">
        <v>597</v>
      </c>
      <c r="E73" s="781">
        <v>0.4</v>
      </c>
      <c r="F73" s="768">
        <v>60</v>
      </c>
    </row>
    <row r="74" spans="1:6" s="764" customFormat="1" ht="36">
      <c r="A74" s="768">
        <v>14</v>
      </c>
      <c r="B74" s="3707"/>
      <c r="C74" s="682" t="s">
        <v>598</v>
      </c>
      <c r="D74" s="682" t="s">
        <v>599</v>
      </c>
      <c r="E74" s="781">
        <v>0.2</v>
      </c>
      <c r="F74" s="768">
        <v>30</v>
      </c>
    </row>
    <row r="75" spans="1:6" s="764" customFormat="1" ht="36">
      <c r="A75" s="768">
        <v>15</v>
      </c>
      <c r="B75" s="3707"/>
      <c r="C75" s="682" t="s">
        <v>600</v>
      </c>
      <c r="D75" s="682" t="s">
        <v>601</v>
      </c>
      <c r="E75" s="781">
        <v>0.2</v>
      </c>
      <c r="F75" s="768">
        <v>30</v>
      </c>
    </row>
    <row r="76" spans="1:6" s="764" customFormat="1" ht="36">
      <c r="A76" s="768">
        <v>16</v>
      </c>
      <c r="B76" s="3707" t="s">
        <v>602</v>
      </c>
      <c r="C76" s="682" t="s">
        <v>603</v>
      </c>
      <c r="D76" s="682" t="s">
        <v>604</v>
      </c>
      <c r="E76" s="781">
        <v>0.5</v>
      </c>
      <c r="F76" s="768">
        <v>80</v>
      </c>
    </row>
    <row r="77" spans="1:6" s="764" customFormat="1" ht="36">
      <c r="A77" s="768">
        <v>17</v>
      </c>
      <c r="B77" s="3707"/>
      <c r="C77" s="682" t="s">
        <v>605</v>
      </c>
      <c r="D77" s="682" t="s">
        <v>606</v>
      </c>
      <c r="E77" s="781">
        <v>0.5</v>
      </c>
      <c r="F77" s="768">
        <v>80</v>
      </c>
    </row>
    <row r="78" spans="1:6" s="764" customFormat="1" ht="36">
      <c r="A78" s="768">
        <v>18</v>
      </c>
      <c r="B78" s="3707"/>
      <c r="C78" s="682" t="s">
        <v>607</v>
      </c>
      <c r="D78" s="682" t="s">
        <v>608</v>
      </c>
      <c r="E78" s="781">
        <v>0.2</v>
      </c>
      <c r="F78" s="768">
        <v>30</v>
      </c>
    </row>
    <row r="79" spans="1:6" s="764" customFormat="1" ht="36">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60">
      <c r="A82" s="768">
        <v>22</v>
      </c>
      <c r="B82" s="3707"/>
      <c r="C82" s="682" t="s">
        <v>615</v>
      </c>
      <c r="D82" s="682" t="s">
        <v>616</v>
      </c>
      <c r="E82" s="781">
        <v>0.2</v>
      </c>
      <c r="F82" s="768">
        <v>30</v>
      </c>
    </row>
    <row r="83" spans="1:6" s="764" customFormat="1" ht="60">
      <c r="A83" s="768">
        <v>23</v>
      </c>
      <c r="B83" s="3707"/>
      <c r="C83" s="682" t="s">
        <v>617</v>
      </c>
      <c r="D83" s="682" t="s">
        <v>618</v>
      </c>
      <c r="E83" s="781">
        <v>0.2</v>
      </c>
      <c r="F83" s="768">
        <v>30</v>
      </c>
    </row>
    <row r="84" spans="1:6" s="764" customFormat="1" ht="48">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36">
      <c r="A89" s="768">
        <v>29</v>
      </c>
      <c r="B89" s="3707"/>
      <c r="C89" s="682" t="s">
        <v>629</v>
      </c>
      <c r="D89" s="682" t="s">
        <v>630</v>
      </c>
      <c r="E89" s="781">
        <v>0.2</v>
      </c>
      <c r="F89" s="768">
        <v>30</v>
      </c>
    </row>
    <row r="90" spans="1:6" s="764" customFormat="1" ht="36">
      <c r="A90" s="768">
        <v>30</v>
      </c>
      <c r="B90" s="3707"/>
      <c r="C90" s="682" t="s">
        <v>631</v>
      </c>
      <c r="D90" s="682" t="s">
        <v>632</v>
      </c>
      <c r="E90" s="781">
        <v>0.2</v>
      </c>
      <c r="F90" s="768">
        <v>30</v>
      </c>
    </row>
    <row r="91" spans="1:6" s="764" customFormat="1" ht="48">
      <c r="A91" s="768">
        <v>31</v>
      </c>
      <c r="B91" s="3707"/>
      <c r="C91" s="682" t="s">
        <v>633</v>
      </c>
      <c r="D91" s="682" t="s">
        <v>634</v>
      </c>
      <c r="E91" s="781">
        <v>0.2</v>
      </c>
      <c r="F91" s="768">
        <v>30</v>
      </c>
    </row>
    <row r="92" spans="1:6" s="764" customFormat="1" ht="36">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60">
      <c r="A94" s="768">
        <v>34</v>
      </c>
      <c r="B94" s="3707"/>
      <c r="C94" s="768" t="s">
        <v>640</v>
      </c>
      <c r="D94" s="682" t="s">
        <v>641</v>
      </c>
      <c r="E94" s="781">
        <v>0.2</v>
      </c>
      <c r="F94" s="768">
        <v>30</v>
      </c>
    </row>
    <row r="95" spans="1:6" s="764" customFormat="1" ht="48">
      <c r="A95" s="768">
        <v>35</v>
      </c>
      <c r="B95" s="3707"/>
      <c r="C95" s="768" t="s">
        <v>642</v>
      </c>
      <c r="D95" s="682" t="s">
        <v>643</v>
      </c>
      <c r="E95" s="781">
        <v>0.2</v>
      </c>
      <c r="F95" s="768">
        <v>30</v>
      </c>
    </row>
    <row r="96" spans="1:6" s="764" customFormat="1" ht="72">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36">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7" t="s">
        <v>665</v>
      </c>
      <c r="C105" s="768" t="s">
        <v>666</v>
      </c>
      <c r="D105" s="682" t="s">
        <v>667</v>
      </c>
      <c r="E105" s="781">
        <v>0.2</v>
      </c>
      <c r="F105" s="768">
        <v>30</v>
      </c>
    </row>
    <row r="106" spans="1:6" s="764" customFormat="1" ht="48">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48">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7" t="s">
        <v>681</v>
      </c>
      <c r="C111" s="768" t="s">
        <v>682</v>
      </c>
      <c r="D111" s="682" t="s">
        <v>683</v>
      </c>
      <c r="E111" s="781">
        <v>0.2</v>
      </c>
      <c r="F111" s="768">
        <v>30</v>
      </c>
    </row>
    <row r="112" spans="1:6" s="764" customFormat="1" ht="36">
      <c r="A112" s="768">
        <v>52</v>
      </c>
      <c r="B112" s="3707"/>
      <c r="C112" s="768" t="s">
        <v>684</v>
      </c>
      <c r="D112" s="682" t="s">
        <v>685</v>
      </c>
      <c r="E112" s="781">
        <v>0.2</v>
      </c>
      <c r="F112" s="768">
        <v>30</v>
      </c>
    </row>
    <row r="113" spans="1:6" s="764" customFormat="1" ht="36">
      <c r="A113" s="768">
        <v>53</v>
      </c>
      <c r="B113" s="3707"/>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324"/>
    <col min="2" max="6" width="9" style="2324" customWidth="1"/>
    <col min="7" max="7" width="9" style="2367"/>
    <col min="8" max="8" width="9" style="2324"/>
    <col min="9" max="12" width="9" style="2324" customWidth="1"/>
    <col min="13" max="13" width="2.21875" style="2324" customWidth="1"/>
    <col min="14" max="14" width="9" style="2367" customWidth="1"/>
    <col min="15" max="17" width="9" style="2324" customWidth="1"/>
    <col min="18" max="18" width="2.33203125" style="2324" customWidth="1"/>
    <col min="19" max="19" width="7.109375" style="2367" customWidth="1"/>
    <col min="20" max="22" width="7.109375" style="2324" customWidth="1"/>
    <col min="23" max="23" width="23.88671875" style="2324" customWidth="1"/>
    <col min="24" max="25" width="9" style="2324"/>
    <col min="26" max="27" width="11.6640625" style="2324" customWidth="1"/>
    <col min="28" max="28" width="9" style="2324"/>
    <col min="29" max="29" width="2" style="2324" customWidth="1"/>
    <col min="30" max="16384" width="9" style="2324"/>
  </cols>
  <sheetData>
    <row r="1" spans="1:34" s="2302" customFormat="1">
      <c r="B1" s="3713" t="s">
        <v>964</v>
      </c>
      <c r="C1" s="3713"/>
      <c r="D1" s="3713"/>
      <c r="E1" s="3713"/>
      <c r="F1" s="3713"/>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3" customFormat="1" ht="1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4">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4">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2833</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0">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 customHeight="1">
      <c r="A6" s="2338" t="s">
        <v>2834</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0">
        <v>2021</v>
      </c>
      <c r="H6" s="2340">
        <v>3</v>
      </c>
      <c r="I6" s="3128">
        <v>0.47</v>
      </c>
      <c r="J6" s="3128">
        <v>0.41</v>
      </c>
      <c r="K6" s="3128">
        <v>0.48</v>
      </c>
      <c r="L6" s="3129">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 customHeight="1">
      <c r="A7" s="2338" t="s">
        <v>2832</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7">
        <v>2021</v>
      </c>
      <c r="H7" s="2340">
        <v>2</v>
      </c>
      <c r="I7" s="3128">
        <v>0.92</v>
      </c>
      <c r="J7" s="3128">
        <v>0.72</v>
      </c>
      <c r="K7" s="3128">
        <v>0.95</v>
      </c>
      <c r="L7" s="3129">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 customHeight="1">
      <c r="A8" s="2338" t="s">
        <v>2831</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6">
        <v>2021</v>
      </c>
      <c r="H8" s="2340">
        <v>1</v>
      </c>
      <c r="I8" s="3128">
        <v>0.97</v>
      </c>
      <c r="J8" s="3128">
        <v>0.16</v>
      </c>
      <c r="K8" s="3128">
        <v>1.1100000000000001</v>
      </c>
      <c r="L8" s="3129">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 customHeight="1">
      <c r="A9" s="2338" t="s">
        <v>2828</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7">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 customHeight="1">
      <c r="A10" s="2338" t="s">
        <v>2827</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6">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 customHeight="1">
      <c r="A11" s="2338" t="s">
        <v>2679</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 customHeight="1">
      <c r="A12" s="2338" t="s">
        <v>2676</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 customHeight="1">
      <c r="A13" s="2338" t="s">
        <v>2674</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 customHeight="1" thickBot="1">
      <c r="A14" s="2338" t="s">
        <v>2671</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 customHeight="1">
      <c r="A15" s="2338" t="s">
        <v>2665</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 customHeight="1" thickBot="1">
      <c r="A16" s="2338" t="s">
        <v>2666</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2660</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11">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 customHeight="1">
      <c r="A18" s="2338" t="s">
        <v>2655</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11"/>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 customHeight="1">
      <c r="A19" s="2338" t="s">
        <v>2654</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11"/>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8"/>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4">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11"/>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11"/>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8"/>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4">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11"/>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11"/>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8"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12"/>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8" thickBot="1">
      <c r="A29" s="2338" t="s">
        <v>101</v>
      </c>
      <c r="B29" s="2348">
        <v>333</v>
      </c>
      <c r="C29" s="2348">
        <v>277</v>
      </c>
      <c r="D29" s="2348">
        <f t="shared" si="183"/>
        <v>277</v>
      </c>
      <c r="E29" s="2348">
        <v>459</v>
      </c>
      <c r="F29" s="2349">
        <v>249</v>
      </c>
      <c r="G29" s="3710">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11"/>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11"/>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12"/>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8" thickBot="1">
      <c r="A33" s="2338" t="s">
        <v>97</v>
      </c>
      <c r="B33" s="2370">
        <v>318</v>
      </c>
      <c r="C33" s="2370">
        <v>268</v>
      </c>
      <c r="D33" s="2370">
        <f t="shared" si="183"/>
        <v>268</v>
      </c>
      <c r="E33" s="2370">
        <v>437</v>
      </c>
      <c r="F33" s="2371">
        <v>237</v>
      </c>
      <c r="G33" s="3710">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11"/>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8"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11"/>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8"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12"/>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8" thickBot="1">
      <c r="A37" s="2338" t="s">
        <v>982</v>
      </c>
      <c r="B37" s="2348">
        <v>299</v>
      </c>
      <c r="C37" s="2348">
        <v>252</v>
      </c>
      <c r="D37" s="2348">
        <f t="shared" si="183"/>
        <v>252</v>
      </c>
      <c r="E37" s="2348">
        <v>409</v>
      </c>
      <c r="F37" s="2349">
        <v>227</v>
      </c>
      <c r="G37" s="3715">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6"/>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6"/>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7"/>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8" thickBot="1">
      <c r="A41" s="2338" t="s">
        <v>986</v>
      </c>
      <c r="B41" s="2391">
        <v>278</v>
      </c>
      <c r="C41" s="2391">
        <v>234</v>
      </c>
      <c r="D41" s="2391">
        <f t="shared" si="183"/>
        <v>234</v>
      </c>
      <c r="E41" s="2391">
        <v>379</v>
      </c>
      <c r="F41" s="2392">
        <v>220</v>
      </c>
      <c r="G41" s="3710">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11"/>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11"/>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8" thickBot="1">
      <c r="A44" s="2338" t="s">
        <v>989</v>
      </c>
      <c r="B44" s="2355">
        <f>B43/(1+N43)</f>
        <v>275.19025476197027</v>
      </c>
      <c r="C44" s="2393">
        <v>232</v>
      </c>
      <c r="D44" s="2393">
        <f t="shared" si="183"/>
        <v>232</v>
      </c>
      <c r="E44" s="2355">
        <f t="shared" si="194"/>
        <v>375.65990977608692</v>
      </c>
      <c r="F44" s="2355">
        <f t="shared" si="194"/>
        <v>214.12518283971252</v>
      </c>
      <c r="G44" s="3712"/>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8" thickBot="1">
      <c r="A45" s="2338" t="s">
        <v>990</v>
      </c>
      <c r="B45" s="2348">
        <v>275</v>
      </c>
      <c r="C45" s="2348">
        <v>232</v>
      </c>
      <c r="D45" s="2348">
        <f t="shared" si="183"/>
        <v>232</v>
      </c>
      <c r="E45" s="2348">
        <v>376</v>
      </c>
      <c r="F45" s="2349">
        <v>213</v>
      </c>
      <c r="G45" s="3710">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11">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11">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8"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12">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8" thickBot="1">
      <c r="A49" s="2338" t="s">
        <v>994</v>
      </c>
      <c r="B49" s="2348">
        <v>269</v>
      </c>
      <c r="C49" s="2348">
        <v>221</v>
      </c>
      <c r="D49" s="2348">
        <f t="shared" si="183"/>
        <v>221</v>
      </c>
      <c r="E49" s="2348">
        <v>373</v>
      </c>
      <c r="F49" s="2349">
        <v>196</v>
      </c>
      <c r="G49" s="3710">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11">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11">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8"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12">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8" thickBot="1">
      <c r="A53" s="2338" t="s">
        <v>998</v>
      </c>
      <c r="B53" s="2348">
        <v>220</v>
      </c>
      <c r="C53" s="2348">
        <v>187</v>
      </c>
      <c r="D53" s="2348">
        <f t="shared" si="183"/>
        <v>187</v>
      </c>
      <c r="E53" s="2348">
        <v>301</v>
      </c>
      <c r="F53" s="2349">
        <v>168</v>
      </c>
      <c r="G53" s="3710">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11">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11">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12">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8" thickBot="1">
      <c r="A57" s="2338" t="s">
        <v>1002</v>
      </c>
      <c r="B57" s="2391">
        <v>214</v>
      </c>
      <c r="C57" s="2391">
        <v>188</v>
      </c>
      <c r="D57" s="2391">
        <f t="shared" si="183"/>
        <v>188</v>
      </c>
      <c r="E57" s="2391">
        <v>289</v>
      </c>
      <c r="F57" s="2392">
        <v>166</v>
      </c>
      <c r="G57" s="3710">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11">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11">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8"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12">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8" thickBot="1">
      <c r="A61" s="2338" t="s">
        <v>1006</v>
      </c>
      <c r="B61" s="2348">
        <v>188</v>
      </c>
      <c r="C61" s="2348">
        <v>165</v>
      </c>
      <c r="D61" s="2348">
        <f t="shared" si="183"/>
        <v>165</v>
      </c>
      <c r="E61" s="2348">
        <v>254</v>
      </c>
      <c r="F61" s="2349">
        <v>148</v>
      </c>
      <c r="G61" s="3710">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11">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11">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12">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8" thickBot="1">
      <c r="A65" s="2338" t="s">
        <v>1010</v>
      </c>
      <c r="B65" s="2370">
        <v>159</v>
      </c>
      <c r="C65" s="2370">
        <v>141</v>
      </c>
      <c r="D65" s="2370">
        <f t="shared" si="183"/>
        <v>141</v>
      </c>
      <c r="E65" s="2370">
        <v>195</v>
      </c>
      <c r="F65" s="2371">
        <v>122</v>
      </c>
      <c r="G65" s="3710">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11">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11">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12">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8" thickBot="1">
      <c r="A69" s="2338" t="s">
        <v>1014</v>
      </c>
      <c r="B69" s="2370">
        <v>138</v>
      </c>
      <c r="C69" s="2370">
        <v>131</v>
      </c>
      <c r="D69" s="2370">
        <f t="shared" si="183"/>
        <v>131</v>
      </c>
      <c r="E69" s="2370">
        <v>155</v>
      </c>
      <c r="F69" s="2371">
        <v>114</v>
      </c>
      <c r="G69" s="3710">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11">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11">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12">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8" thickBot="1">
      <c r="A73" s="2338" t="s">
        <v>1018</v>
      </c>
      <c r="B73" s="2391">
        <v>121</v>
      </c>
      <c r="C73" s="2391">
        <v>122</v>
      </c>
      <c r="D73" s="2391">
        <f t="shared" si="183"/>
        <v>122</v>
      </c>
      <c r="E73" s="2391">
        <v>124</v>
      </c>
      <c r="F73" s="2392">
        <v>107</v>
      </c>
      <c r="G73" s="3710">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11">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11">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8"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12">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8" thickBot="1">
      <c r="A77" s="2338" t="s">
        <v>1022</v>
      </c>
      <c r="B77" s="2411">
        <v>111</v>
      </c>
      <c r="C77" s="2411">
        <v>114</v>
      </c>
      <c r="D77" s="2411">
        <f t="shared" si="183"/>
        <v>114</v>
      </c>
      <c r="E77" s="2411">
        <v>108</v>
      </c>
      <c r="F77" s="2412">
        <v>104</v>
      </c>
      <c r="G77" s="3710">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11">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11">
        <v>2003</v>
      </c>
      <c r="H79" s="2358">
        <v>2</v>
      </c>
      <c r="I79" s="2413"/>
      <c r="J79" s="2413"/>
      <c r="K79" s="2413"/>
      <c r="L79" s="2413"/>
      <c r="X79" s="2405"/>
      <c r="Y79" s="2405"/>
      <c r="Z79" s="2405"/>
    </row>
    <row r="80" spans="1:26" ht="13.8" thickBot="1">
      <c r="A80" s="2338" t="s">
        <v>1025</v>
      </c>
      <c r="B80" s="2415">
        <f t="shared" si="219"/>
        <v>107.25</v>
      </c>
      <c r="C80" s="2415">
        <f t="shared" si="219"/>
        <v>108.75</v>
      </c>
      <c r="D80" s="2415">
        <f t="shared" si="183"/>
        <v>108.75</v>
      </c>
      <c r="E80" s="2415">
        <f t="shared" si="220"/>
        <v>105.75</v>
      </c>
      <c r="F80" s="2415">
        <f t="shared" si="220"/>
        <v>102.5</v>
      </c>
      <c r="G80" s="3712">
        <v>2003</v>
      </c>
      <c r="H80" s="2416">
        <v>1</v>
      </c>
      <c r="I80" s="2413"/>
      <c r="J80" s="2413"/>
      <c r="K80" s="2413"/>
      <c r="L80" s="2413"/>
      <c r="S80" s="2356"/>
      <c r="T80" s="2325"/>
      <c r="U80" s="2325"/>
      <c r="X80" s="2405"/>
      <c r="Y80" s="2405"/>
      <c r="Z80" s="2405"/>
    </row>
    <row r="81" spans="1:26" ht="13.8" thickBot="1">
      <c r="A81" s="2338" t="s">
        <v>1026</v>
      </c>
      <c r="B81" s="2417">
        <v>106</v>
      </c>
      <c r="C81" s="2417">
        <v>107</v>
      </c>
      <c r="D81" s="2417">
        <f t="shared" si="183"/>
        <v>107</v>
      </c>
      <c r="E81" s="2417">
        <v>105</v>
      </c>
      <c r="F81" s="2418">
        <v>102</v>
      </c>
      <c r="G81" s="3710">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11">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11">
        <v>2002</v>
      </c>
      <c r="H83" s="2358">
        <v>2</v>
      </c>
      <c r="I83" s="2413"/>
      <c r="J83" s="2413"/>
      <c r="K83" s="2413"/>
      <c r="L83" s="2413"/>
      <c r="X83" s="2405"/>
      <c r="Y83" s="2405"/>
      <c r="Z83" s="2405"/>
    </row>
    <row r="84" spans="1:26" s="2378" customFormat="1" ht="13.8" thickBot="1">
      <c r="A84" s="2374" t="s">
        <v>1029</v>
      </c>
      <c r="B84" s="2381">
        <f t="shared" si="221"/>
        <v>103</v>
      </c>
      <c r="C84" s="2381">
        <f t="shared" si="221"/>
        <v>104</v>
      </c>
      <c r="D84" s="2381">
        <f t="shared" si="183"/>
        <v>104</v>
      </c>
      <c r="E84" s="2381">
        <f t="shared" si="222"/>
        <v>103.5</v>
      </c>
      <c r="F84" s="2381">
        <f t="shared" si="222"/>
        <v>100.5</v>
      </c>
      <c r="G84" s="3712">
        <v>2002</v>
      </c>
      <c r="H84" s="2419">
        <v>1</v>
      </c>
      <c r="I84" s="2420"/>
      <c r="J84" s="2420"/>
      <c r="K84" s="2420"/>
      <c r="L84" s="2420"/>
      <c r="N84" s="2421"/>
      <c r="S84" s="2421"/>
      <c r="X84" s="2422"/>
      <c r="Y84" s="2422"/>
      <c r="Z84" s="2422"/>
    </row>
    <row r="85" spans="1:26" ht="13.8"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8"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8"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07" customWidth="1"/>
    <col min="2" max="2" width="13.21875" style="1213" customWidth="1"/>
    <col min="3" max="3" width="15.6640625" style="1213" customWidth="1"/>
    <col min="4" max="4" width="9.33203125" style="1213" bestFit="1" customWidth="1"/>
    <col min="5" max="5" width="13.44140625" style="1213" customWidth="1"/>
    <col min="6" max="6" width="9" style="1213"/>
    <col min="7" max="7" width="9.33203125" style="1213" bestFit="1" customWidth="1"/>
    <col min="8" max="8" width="11.44140625" style="1213" customWidth="1"/>
    <col min="9" max="9" width="9" style="1213"/>
    <col min="10" max="10" width="9.33203125" style="1213" bestFit="1" customWidth="1"/>
    <col min="11" max="11" width="4" style="1207" customWidth="1"/>
    <col min="12" max="12" width="5.109375" style="1213" customWidth="1"/>
    <col min="13" max="13" width="13.77734375" style="1213" customWidth="1"/>
    <col min="14" max="256" width="9" style="1213"/>
    <col min="257" max="257" width="4.88671875" style="1204" customWidth="1"/>
    <col min="258" max="258" width="13.21875" style="1204" customWidth="1"/>
    <col min="259" max="259" width="15.6640625" style="1204" customWidth="1"/>
    <col min="260" max="260" width="9.33203125" style="1204" bestFit="1" customWidth="1"/>
    <col min="261" max="261" width="13.44140625" style="1204" customWidth="1"/>
    <col min="262" max="262" width="9" style="1204"/>
    <col min="263" max="263" width="9.33203125" style="1204" bestFit="1" customWidth="1"/>
    <col min="264" max="265" width="9" style="1204"/>
    <col min="266" max="266" width="9.33203125" style="1204" bestFit="1" customWidth="1"/>
    <col min="267" max="267" width="4" style="1204" customWidth="1"/>
    <col min="268" max="268" width="5.109375" style="1204" customWidth="1"/>
    <col min="269" max="269" width="13.77734375" style="1204" customWidth="1"/>
    <col min="270" max="512" width="9" style="1204"/>
    <col min="513" max="513" width="4.88671875" style="1204" customWidth="1"/>
    <col min="514" max="514" width="13.21875" style="1204" customWidth="1"/>
    <col min="515" max="515" width="15.6640625" style="1204" customWidth="1"/>
    <col min="516" max="516" width="9.33203125" style="1204" bestFit="1" customWidth="1"/>
    <col min="517" max="517" width="13.44140625" style="1204" customWidth="1"/>
    <col min="518" max="518" width="9" style="1204"/>
    <col min="519" max="519" width="9.33203125" style="1204" bestFit="1" customWidth="1"/>
    <col min="520" max="521" width="9" style="1204"/>
    <col min="522" max="522" width="9.33203125" style="1204" bestFit="1" customWidth="1"/>
    <col min="523" max="523" width="4" style="1204" customWidth="1"/>
    <col min="524" max="524" width="5.109375" style="1204" customWidth="1"/>
    <col min="525" max="525" width="13.77734375" style="1204" customWidth="1"/>
    <col min="526" max="768" width="9" style="1204"/>
    <col min="769" max="769" width="4.88671875" style="1204" customWidth="1"/>
    <col min="770" max="770" width="13.21875" style="1204" customWidth="1"/>
    <col min="771" max="771" width="15.6640625" style="1204" customWidth="1"/>
    <col min="772" max="772" width="9.33203125" style="1204" bestFit="1" customWidth="1"/>
    <col min="773" max="773" width="13.44140625" style="1204" customWidth="1"/>
    <col min="774" max="774" width="9" style="1204"/>
    <col min="775" max="775" width="9.33203125" style="1204" bestFit="1" customWidth="1"/>
    <col min="776" max="777" width="9" style="1204"/>
    <col min="778" max="778" width="9.33203125" style="1204" bestFit="1" customWidth="1"/>
    <col min="779" max="779" width="4" style="1204" customWidth="1"/>
    <col min="780" max="780" width="5.109375" style="1204" customWidth="1"/>
    <col min="781" max="781" width="13.77734375" style="1204" customWidth="1"/>
    <col min="782" max="1024" width="9" style="1204"/>
    <col min="1025" max="1025" width="4.88671875" style="1204" customWidth="1"/>
    <col min="1026" max="1026" width="13.21875" style="1204" customWidth="1"/>
    <col min="1027" max="1027" width="15.6640625" style="1204" customWidth="1"/>
    <col min="1028" max="1028" width="9.33203125" style="1204" bestFit="1" customWidth="1"/>
    <col min="1029" max="1029" width="13.44140625" style="1204" customWidth="1"/>
    <col min="1030" max="1030" width="9" style="1204"/>
    <col min="1031" max="1031" width="9.33203125" style="1204" bestFit="1" customWidth="1"/>
    <col min="1032" max="1033" width="9" style="1204"/>
    <col min="1034" max="1034" width="9.33203125" style="1204" bestFit="1" customWidth="1"/>
    <col min="1035" max="1035" width="4" style="1204" customWidth="1"/>
    <col min="1036" max="1036" width="5.109375" style="1204" customWidth="1"/>
    <col min="1037" max="1037" width="13.77734375" style="1204" customWidth="1"/>
    <col min="1038" max="1280" width="9" style="1204"/>
    <col min="1281" max="1281" width="4.88671875" style="1204" customWidth="1"/>
    <col min="1282" max="1282" width="13.21875" style="1204" customWidth="1"/>
    <col min="1283" max="1283" width="15.6640625" style="1204" customWidth="1"/>
    <col min="1284" max="1284" width="9.33203125" style="1204" bestFit="1" customWidth="1"/>
    <col min="1285" max="1285" width="13.44140625" style="1204" customWidth="1"/>
    <col min="1286" max="1286" width="9" style="1204"/>
    <col min="1287" max="1287" width="9.33203125" style="1204" bestFit="1" customWidth="1"/>
    <col min="1288" max="1289" width="9" style="1204"/>
    <col min="1290" max="1290" width="9.33203125" style="1204" bestFit="1" customWidth="1"/>
    <col min="1291" max="1291" width="4" style="1204" customWidth="1"/>
    <col min="1292" max="1292" width="5.109375" style="1204" customWidth="1"/>
    <col min="1293" max="1293" width="13.77734375" style="1204" customWidth="1"/>
    <col min="1294" max="1536" width="9" style="1204"/>
    <col min="1537" max="1537" width="4.88671875" style="1204" customWidth="1"/>
    <col min="1538" max="1538" width="13.21875" style="1204" customWidth="1"/>
    <col min="1539" max="1539" width="15.6640625" style="1204" customWidth="1"/>
    <col min="1540" max="1540" width="9.33203125" style="1204" bestFit="1" customWidth="1"/>
    <col min="1541" max="1541" width="13.44140625" style="1204" customWidth="1"/>
    <col min="1542" max="1542" width="9" style="1204"/>
    <col min="1543" max="1543" width="9.33203125" style="1204" bestFit="1" customWidth="1"/>
    <col min="1544" max="1545" width="9" style="1204"/>
    <col min="1546" max="1546" width="9.33203125" style="1204" bestFit="1" customWidth="1"/>
    <col min="1547" max="1547" width="4" style="1204" customWidth="1"/>
    <col min="1548" max="1548" width="5.109375" style="1204" customWidth="1"/>
    <col min="1549" max="1549" width="13.77734375" style="1204" customWidth="1"/>
    <col min="1550" max="1792" width="9" style="1204"/>
    <col min="1793" max="1793" width="4.88671875" style="1204" customWidth="1"/>
    <col min="1794" max="1794" width="13.21875" style="1204" customWidth="1"/>
    <col min="1795" max="1795" width="15.6640625" style="1204" customWidth="1"/>
    <col min="1796" max="1796" width="9.33203125" style="1204" bestFit="1" customWidth="1"/>
    <col min="1797" max="1797" width="13.44140625" style="1204" customWidth="1"/>
    <col min="1798" max="1798" width="9" style="1204"/>
    <col min="1799" max="1799" width="9.33203125" style="1204" bestFit="1" customWidth="1"/>
    <col min="1800" max="1801" width="9" style="1204"/>
    <col min="1802" max="1802" width="9.33203125" style="1204" bestFit="1" customWidth="1"/>
    <col min="1803" max="1803" width="4" style="1204" customWidth="1"/>
    <col min="1804" max="1804" width="5.109375" style="1204" customWidth="1"/>
    <col min="1805" max="1805" width="13.77734375" style="1204" customWidth="1"/>
    <col min="1806" max="2048" width="9" style="1204"/>
    <col min="2049" max="2049" width="4.88671875" style="1204" customWidth="1"/>
    <col min="2050" max="2050" width="13.21875" style="1204" customWidth="1"/>
    <col min="2051" max="2051" width="15.6640625" style="1204" customWidth="1"/>
    <col min="2052" max="2052" width="9.33203125" style="1204" bestFit="1" customWidth="1"/>
    <col min="2053" max="2053" width="13.44140625" style="1204" customWidth="1"/>
    <col min="2054" max="2054" width="9" style="1204"/>
    <col min="2055" max="2055" width="9.33203125" style="1204" bestFit="1" customWidth="1"/>
    <col min="2056" max="2057" width="9" style="1204"/>
    <col min="2058" max="2058" width="9.33203125" style="1204" bestFit="1" customWidth="1"/>
    <col min="2059" max="2059" width="4" style="1204" customWidth="1"/>
    <col min="2060" max="2060" width="5.109375" style="1204" customWidth="1"/>
    <col min="2061" max="2061" width="13.77734375" style="1204" customWidth="1"/>
    <col min="2062" max="2304" width="9" style="1204"/>
    <col min="2305" max="2305" width="4.88671875" style="1204" customWidth="1"/>
    <col min="2306" max="2306" width="13.21875" style="1204" customWidth="1"/>
    <col min="2307" max="2307" width="15.6640625" style="1204" customWidth="1"/>
    <col min="2308" max="2308" width="9.33203125" style="1204" bestFit="1" customWidth="1"/>
    <col min="2309" max="2309" width="13.44140625" style="1204" customWidth="1"/>
    <col min="2310" max="2310" width="9" style="1204"/>
    <col min="2311" max="2311" width="9.33203125" style="1204" bestFit="1" customWidth="1"/>
    <col min="2312" max="2313" width="9" style="1204"/>
    <col min="2314" max="2314" width="9.33203125" style="1204" bestFit="1" customWidth="1"/>
    <col min="2315" max="2315" width="4" style="1204" customWidth="1"/>
    <col min="2316" max="2316" width="5.109375" style="1204" customWidth="1"/>
    <col min="2317" max="2317" width="13.77734375" style="1204" customWidth="1"/>
    <col min="2318" max="2560" width="9" style="1204"/>
    <col min="2561" max="2561" width="4.88671875" style="1204" customWidth="1"/>
    <col min="2562" max="2562" width="13.21875" style="1204" customWidth="1"/>
    <col min="2563" max="2563" width="15.6640625" style="1204" customWidth="1"/>
    <col min="2564" max="2564" width="9.33203125" style="1204" bestFit="1" customWidth="1"/>
    <col min="2565" max="2565" width="13.44140625" style="1204" customWidth="1"/>
    <col min="2566" max="2566" width="9" style="1204"/>
    <col min="2567" max="2567" width="9.33203125" style="1204" bestFit="1" customWidth="1"/>
    <col min="2568" max="2569" width="9" style="1204"/>
    <col min="2570" max="2570" width="9.33203125" style="1204" bestFit="1" customWidth="1"/>
    <col min="2571" max="2571" width="4" style="1204" customWidth="1"/>
    <col min="2572" max="2572" width="5.109375" style="1204" customWidth="1"/>
    <col min="2573" max="2573" width="13.77734375" style="1204" customWidth="1"/>
    <col min="2574" max="2816" width="9" style="1204"/>
    <col min="2817" max="2817" width="4.88671875" style="1204" customWidth="1"/>
    <col min="2818" max="2818" width="13.21875" style="1204" customWidth="1"/>
    <col min="2819" max="2819" width="15.6640625" style="1204" customWidth="1"/>
    <col min="2820" max="2820" width="9.33203125" style="1204" bestFit="1" customWidth="1"/>
    <col min="2821" max="2821" width="13.44140625" style="1204" customWidth="1"/>
    <col min="2822" max="2822" width="9" style="1204"/>
    <col min="2823" max="2823" width="9.33203125" style="1204" bestFit="1" customWidth="1"/>
    <col min="2824" max="2825" width="9" style="1204"/>
    <col min="2826" max="2826" width="9.33203125" style="1204" bestFit="1" customWidth="1"/>
    <col min="2827" max="2827" width="4" style="1204" customWidth="1"/>
    <col min="2828" max="2828" width="5.109375" style="1204" customWidth="1"/>
    <col min="2829" max="2829" width="13.77734375" style="1204" customWidth="1"/>
    <col min="2830" max="3072" width="9" style="1204"/>
    <col min="3073" max="3073" width="4.88671875" style="1204" customWidth="1"/>
    <col min="3074" max="3074" width="13.21875" style="1204" customWidth="1"/>
    <col min="3075" max="3075" width="15.6640625" style="1204" customWidth="1"/>
    <col min="3076" max="3076" width="9.33203125" style="1204" bestFit="1" customWidth="1"/>
    <col min="3077" max="3077" width="13.44140625" style="1204" customWidth="1"/>
    <col min="3078" max="3078" width="9" style="1204"/>
    <col min="3079" max="3079" width="9.33203125" style="1204" bestFit="1" customWidth="1"/>
    <col min="3080" max="3081" width="9" style="1204"/>
    <col min="3082" max="3082" width="9.33203125" style="1204" bestFit="1" customWidth="1"/>
    <col min="3083" max="3083" width="4" style="1204" customWidth="1"/>
    <col min="3084" max="3084" width="5.109375" style="1204" customWidth="1"/>
    <col min="3085" max="3085" width="13.77734375" style="1204" customWidth="1"/>
    <col min="3086" max="3328" width="9" style="1204"/>
    <col min="3329" max="3329" width="4.88671875" style="1204" customWidth="1"/>
    <col min="3330" max="3330" width="13.21875" style="1204" customWidth="1"/>
    <col min="3331" max="3331" width="15.6640625" style="1204" customWidth="1"/>
    <col min="3332" max="3332" width="9.33203125" style="1204" bestFit="1" customWidth="1"/>
    <col min="3333" max="3333" width="13.44140625" style="1204" customWidth="1"/>
    <col min="3334" max="3334" width="9" style="1204"/>
    <col min="3335" max="3335" width="9.33203125" style="1204" bestFit="1" customWidth="1"/>
    <col min="3336" max="3337" width="9" style="1204"/>
    <col min="3338" max="3338" width="9.33203125" style="1204" bestFit="1" customWidth="1"/>
    <col min="3339" max="3339" width="4" style="1204" customWidth="1"/>
    <col min="3340" max="3340" width="5.109375" style="1204" customWidth="1"/>
    <col min="3341" max="3341" width="13.77734375" style="1204" customWidth="1"/>
    <col min="3342" max="3584" width="9" style="1204"/>
    <col min="3585" max="3585" width="4.88671875" style="1204" customWidth="1"/>
    <col min="3586" max="3586" width="13.21875" style="1204" customWidth="1"/>
    <col min="3587" max="3587" width="15.6640625" style="1204" customWidth="1"/>
    <col min="3588" max="3588" width="9.33203125" style="1204" bestFit="1" customWidth="1"/>
    <col min="3589" max="3589" width="13.44140625" style="1204" customWidth="1"/>
    <col min="3590" max="3590" width="9" style="1204"/>
    <col min="3591" max="3591" width="9.33203125" style="1204" bestFit="1" customWidth="1"/>
    <col min="3592" max="3593" width="9" style="1204"/>
    <col min="3594" max="3594" width="9.33203125" style="1204" bestFit="1" customWidth="1"/>
    <col min="3595" max="3595" width="4" style="1204" customWidth="1"/>
    <col min="3596" max="3596" width="5.109375" style="1204" customWidth="1"/>
    <col min="3597" max="3597" width="13.77734375" style="1204" customWidth="1"/>
    <col min="3598" max="3840" width="9" style="1204"/>
    <col min="3841" max="3841" width="4.88671875" style="1204" customWidth="1"/>
    <col min="3842" max="3842" width="13.21875" style="1204" customWidth="1"/>
    <col min="3843" max="3843" width="15.6640625" style="1204" customWidth="1"/>
    <col min="3844" max="3844" width="9.33203125" style="1204" bestFit="1" customWidth="1"/>
    <col min="3845" max="3845" width="13.44140625" style="1204" customWidth="1"/>
    <col min="3846" max="3846" width="9" style="1204"/>
    <col min="3847" max="3847" width="9.33203125" style="1204" bestFit="1" customWidth="1"/>
    <col min="3848" max="3849" width="9" style="1204"/>
    <col min="3850" max="3850" width="9.33203125" style="1204" bestFit="1" customWidth="1"/>
    <col min="3851" max="3851" width="4" style="1204" customWidth="1"/>
    <col min="3852" max="3852" width="5.109375" style="1204" customWidth="1"/>
    <col min="3853" max="3853" width="13.77734375" style="1204" customWidth="1"/>
    <col min="3854" max="4096" width="9" style="1204"/>
    <col min="4097" max="4097" width="4.88671875" style="1204" customWidth="1"/>
    <col min="4098" max="4098" width="13.21875" style="1204" customWidth="1"/>
    <col min="4099" max="4099" width="15.6640625" style="1204" customWidth="1"/>
    <col min="4100" max="4100" width="9.33203125" style="1204" bestFit="1" customWidth="1"/>
    <col min="4101" max="4101" width="13.44140625" style="1204" customWidth="1"/>
    <col min="4102" max="4102" width="9" style="1204"/>
    <col min="4103" max="4103" width="9.33203125" style="1204" bestFit="1" customWidth="1"/>
    <col min="4104" max="4105" width="9" style="1204"/>
    <col min="4106" max="4106" width="9.33203125" style="1204" bestFit="1" customWidth="1"/>
    <col min="4107" max="4107" width="4" style="1204" customWidth="1"/>
    <col min="4108" max="4108" width="5.109375" style="1204" customWidth="1"/>
    <col min="4109" max="4109" width="13.77734375" style="1204" customWidth="1"/>
    <col min="4110" max="4352" width="9" style="1204"/>
    <col min="4353" max="4353" width="4.88671875" style="1204" customWidth="1"/>
    <col min="4354" max="4354" width="13.21875" style="1204" customWidth="1"/>
    <col min="4355" max="4355" width="15.6640625" style="1204" customWidth="1"/>
    <col min="4356" max="4356" width="9.33203125" style="1204" bestFit="1" customWidth="1"/>
    <col min="4357" max="4357" width="13.44140625" style="1204" customWidth="1"/>
    <col min="4358" max="4358" width="9" style="1204"/>
    <col min="4359" max="4359" width="9.33203125" style="1204" bestFit="1" customWidth="1"/>
    <col min="4360" max="4361" width="9" style="1204"/>
    <col min="4362" max="4362" width="9.33203125" style="1204" bestFit="1" customWidth="1"/>
    <col min="4363" max="4363" width="4" style="1204" customWidth="1"/>
    <col min="4364" max="4364" width="5.109375" style="1204" customWidth="1"/>
    <col min="4365" max="4365" width="13.77734375" style="1204" customWidth="1"/>
    <col min="4366" max="4608" width="9" style="1204"/>
    <col min="4609" max="4609" width="4.88671875" style="1204" customWidth="1"/>
    <col min="4610" max="4610" width="13.21875" style="1204" customWidth="1"/>
    <col min="4611" max="4611" width="15.6640625" style="1204" customWidth="1"/>
    <col min="4612" max="4612" width="9.33203125" style="1204" bestFit="1" customWidth="1"/>
    <col min="4613" max="4613" width="13.44140625" style="1204" customWidth="1"/>
    <col min="4614" max="4614" width="9" style="1204"/>
    <col min="4615" max="4615" width="9.33203125" style="1204" bestFit="1" customWidth="1"/>
    <col min="4616" max="4617" width="9" style="1204"/>
    <col min="4618" max="4618" width="9.33203125" style="1204" bestFit="1" customWidth="1"/>
    <col min="4619" max="4619" width="4" style="1204" customWidth="1"/>
    <col min="4620" max="4620" width="5.109375" style="1204" customWidth="1"/>
    <col min="4621" max="4621" width="13.77734375" style="1204" customWidth="1"/>
    <col min="4622" max="4864" width="9" style="1204"/>
    <col min="4865" max="4865" width="4.88671875" style="1204" customWidth="1"/>
    <col min="4866" max="4866" width="13.21875" style="1204" customWidth="1"/>
    <col min="4867" max="4867" width="15.6640625" style="1204" customWidth="1"/>
    <col min="4868" max="4868" width="9.33203125" style="1204" bestFit="1" customWidth="1"/>
    <col min="4869" max="4869" width="13.44140625" style="1204" customWidth="1"/>
    <col min="4870" max="4870" width="9" style="1204"/>
    <col min="4871" max="4871" width="9.33203125" style="1204" bestFit="1" customWidth="1"/>
    <col min="4872" max="4873" width="9" style="1204"/>
    <col min="4874" max="4874" width="9.33203125" style="1204" bestFit="1" customWidth="1"/>
    <col min="4875" max="4875" width="4" style="1204" customWidth="1"/>
    <col min="4876" max="4876" width="5.109375" style="1204" customWidth="1"/>
    <col min="4877" max="4877" width="13.77734375" style="1204" customWidth="1"/>
    <col min="4878" max="5120" width="9" style="1204"/>
    <col min="5121" max="5121" width="4.88671875" style="1204" customWidth="1"/>
    <col min="5122" max="5122" width="13.21875" style="1204" customWidth="1"/>
    <col min="5123" max="5123" width="15.6640625" style="1204" customWidth="1"/>
    <col min="5124" max="5124" width="9.33203125" style="1204" bestFit="1" customWidth="1"/>
    <col min="5125" max="5125" width="13.44140625" style="1204" customWidth="1"/>
    <col min="5126" max="5126" width="9" style="1204"/>
    <col min="5127" max="5127" width="9.33203125" style="1204" bestFit="1" customWidth="1"/>
    <col min="5128" max="5129" width="9" style="1204"/>
    <col min="5130" max="5130" width="9.33203125" style="1204" bestFit="1" customWidth="1"/>
    <col min="5131" max="5131" width="4" style="1204" customWidth="1"/>
    <col min="5132" max="5132" width="5.109375" style="1204" customWidth="1"/>
    <col min="5133" max="5133" width="13.77734375" style="1204" customWidth="1"/>
    <col min="5134" max="5376" width="9" style="1204"/>
    <col min="5377" max="5377" width="4.88671875" style="1204" customWidth="1"/>
    <col min="5378" max="5378" width="13.21875" style="1204" customWidth="1"/>
    <col min="5379" max="5379" width="15.6640625" style="1204" customWidth="1"/>
    <col min="5380" max="5380" width="9.33203125" style="1204" bestFit="1" customWidth="1"/>
    <col min="5381" max="5381" width="13.44140625" style="1204" customWidth="1"/>
    <col min="5382" max="5382" width="9" style="1204"/>
    <col min="5383" max="5383" width="9.33203125" style="1204" bestFit="1" customWidth="1"/>
    <col min="5384" max="5385" width="9" style="1204"/>
    <col min="5386" max="5386" width="9.33203125" style="1204" bestFit="1" customWidth="1"/>
    <col min="5387" max="5387" width="4" style="1204" customWidth="1"/>
    <col min="5388" max="5388" width="5.109375" style="1204" customWidth="1"/>
    <col min="5389" max="5389" width="13.77734375" style="1204" customWidth="1"/>
    <col min="5390" max="5632" width="9" style="1204"/>
    <col min="5633" max="5633" width="4.88671875" style="1204" customWidth="1"/>
    <col min="5634" max="5634" width="13.21875" style="1204" customWidth="1"/>
    <col min="5635" max="5635" width="15.6640625" style="1204" customWidth="1"/>
    <col min="5636" max="5636" width="9.33203125" style="1204" bestFit="1" customWidth="1"/>
    <col min="5637" max="5637" width="13.44140625" style="1204" customWidth="1"/>
    <col min="5638" max="5638" width="9" style="1204"/>
    <col min="5639" max="5639" width="9.33203125" style="1204" bestFit="1" customWidth="1"/>
    <col min="5640" max="5641" width="9" style="1204"/>
    <col min="5642" max="5642" width="9.33203125" style="1204" bestFit="1" customWidth="1"/>
    <col min="5643" max="5643" width="4" style="1204" customWidth="1"/>
    <col min="5644" max="5644" width="5.109375" style="1204" customWidth="1"/>
    <col min="5645" max="5645" width="13.77734375" style="1204" customWidth="1"/>
    <col min="5646" max="5888" width="9" style="1204"/>
    <col min="5889" max="5889" width="4.88671875" style="1204" customWidth="1"/>
    <col min="5890" max="5890" width="13.21875" style="1204" customWidth="1"/>
    <col min="5891" max="5891" width="15.6640625" style="1204" customWidth="1"/>
    <col min="5892" max="5892" width="9.33203125" style="1204" bestFit="1" customWidth="1"/>
    <col min="5893" max="5893" width="13.44140625" style="1204" customWidth="1"/>
    <col min="5894" max="5894" width="9" style="1204"/>
    <col min="5895" max="5895" width="9.33203125" style="1204" bestFit="1" customWidth="1"/>
    <col min="5896" max="5897" width="9" style="1204"/>
    <col min="5898" max="5898" width="9.33203125" style="1204" bestFit="1" customWidth="1"/>
    <col min="5899" max="5899" width="4" style="1204" customWidth="1"/>
    <col min="5900" max="5900" width="5.109375" style="1204" customWidth="1"/>
    <col min="5901" max="5901" width="13.77734375" style="1204" customWidth="1"/>
    <col min="5902" max="6144" width="9" style="1204"/>
    <col min="6145" max="6145" width="4.88671875" style="1204" customWidth="1"/>
    <col min="6146" max="6146" width="13.21875" style="1204" customWidth="1"/>
    <col min="6147" max="6147" width="15.6640625" style="1204" customWidth="1"/>
    <col min="6148" max="6148" width="9.33203125" style="1204" bestFit="1" customWidth="1"/>
    <col min="6149" max="6149" width="13.44140625" style="1204" customWidth="1"/>
    <col min="6150" max="6150" width="9" style="1204"/>
    <col min="6151" max="6151" width="9.33203125" style="1204" bestFit="1" customWidth="1"/>
    <col min="6152" max="6153" width="9" style="1204"/>
    <col min="6154" max="6154" width="9.33203125" style="1204" bestFit="1" customWidth="1"/>
    <col min="6155" max="6155" width="4" style="1204" customWidth="1"/>
    <col min="6156" max="6156" width="5.109375" style="1204" customWidth="1"/>
    <col min="6157" max="6157" width="13.77734375" style="1204" customWidth="1"/>
    <col min="6158" max="6400" width="9" style="1204"/>
    <col min="6401" max="6401" width="4.88671875" style="1204" customWidth="1"/>
    <col min="6402" max="6402" width="13.21875" style="1204" customWidth="1"/>
    <col min="6403" max="6403" width="15.6640625" style="1204" customWidth="1"/>
    <col min="6404" max="6404" width="9.33203125" style="1204" bestFit="1" customWidth="1"/>
    <col min="6405" max="6405" width="13.44140625" style="1204" customWidth="1"/>
    <col min="6406" max="6406" width="9" style="1204"/>
    <col min="6407" max="6407" width="9.33203125" style="1204" bestFit="1" customWidth="1"/>
    <col min="6408" max="6409" width="9" style="1204"/>
    <col min="6410" max="6410" width="9.33203125" style="1204" bestFit="1" customWidth="1"/>
    <col min="6411" max="6411" width="4" style="1204" customWidth="1"/>
    <col min="6412" max="6412" width="5.109375" style="1204" customWidth="1"/>
    <col min="6413" max="6413" width="13.77734375" style="1204" customWidth="1"/>
    <col min="6414" max="6656" width="9" style="1204"/>
    <col min="6657" max="6657" width="4.88671875" style="1204" customWidth="1"/>
    <col min="6658" max="6658" width="13.21875" style="1204" customWidth="1"/>
    <col min="6659" max="6659" width="15.6640625" style="1204" customWidth="1"/>
    <col min="6660" max="6660" width="9.33203125" style="1204" bestFit="1" customWidth="1"/>
    <col min="6661" max="6661" width="13.44140625" style="1204" customWidth="1"/>
    <col min="6662" max="6662" width="9" style="1204"/>
    <col min="6663" max="6663" width="9.33203125" style="1204" bestFit="1" customWidth="1"/>
    <col min="6664" max="6665" width="9" style="1204"/>
    <col min="6666" max="6666" width="9.33203125" style="1204" bestFit="1" customWidth="1"/>
    <col min="6667" max="6667" width="4" style="1204" customWidth="1"/>
    <col min="6668" max="6668" width="5.109375" style="1204" customWidth="1"/>
    <col min="6669" max="6669" width="13.77734375" style="1204" customWidth="1"/>
    <col min="6670" max="6912" width="9" style="1204"/>
    <col min="6913" max="6913" width="4.88671875" style="1204" customWidth="1"/>
    <col min="6914" max="6914" width="13.21875" style="1204" customWidth="1"/>
    <col min="6915" max="6915" width="15.6640625" style="1204" customWidth="1"/>
    <col min="6916" max="6916" width="9.33203125" style="1204" bestFit="1" customWidth="1"/>
    <col min="6917" max="6917" width="13.44140625" style="1204" customWidth="1"/>
    <col min="6918" max="6918" width="9" style="1204"/>
    <col min="6919" max="6919" width="9.33203125" style="1204" bestFit="1" customWidth="1"/>
    <col min="6920" max="6921" width="9" style="1204"/>
    <col min="6922" max="6922" width="9.33203125" style="1204" bestFit="1" customWidth="1"/>
    <col min="6923" max="6923" width="4" style="1204" customWidth="1"/>
    <col min="6924" max="6924" width="5.109375" style="1204" customWidth="1"/>
    <col min="6925" max="6925" width="13.77734375" style="1204" customWidth="1"/>
    <col min="6926" max="7168" width="9" style="1204"/>
    <col min="7169" max="7169" width="4.88671875" style="1204" customWidth="1"/>
    <col min="7170" max="7170" width="13.21875" style="1204" customWidth="1"/>
    <col min="7171" max="7171" width="15.6640625" style="1204" customWidth="1"/>
    <col min="7172" max="7172" width="9.33203125" style="1204" bestFit="1" customWidth="1"/>
    <col min="7173" max="7173" width="13.44140625" style="1204" customWidth="1"/>
    <col min="7174" max="7174" width="9" style="1204"/>
    <col min="7175" max="7175" width="9.33203125" style="1204" bestFit="1" customWidth="1"/>
    <col min="7176" max="7177" width="9" style="1204"/>
    <col min="7178" max="7178" width="9.33203125" style="1204" bestFit="1" customWidth="1"/>
    <col min="7179" max="7179" width="4" style="1204" customWidth="1"/>
    <col min="7180" max="7180" width="5.109375" style="1204" customWidth="1"/>
    <col min="7181" max="7181" width="13.77734375" style="1204" customWidth="1"/>
    <col min="7182" max="7424" width="9" style="1204"/>
    <col min="7425" max="7425" width="4.88671875" style="1204" customWidth="1"/>
    <col min="7426" max="7426" width="13.21875" style="1204" customWidth="1"/>
    <col min="7427" max="7427" width="15.6640625" style="1204" customWidth="1"/>
    <col min="7428" max="7428" width="9.33203125" style="1204" bestFit="1" customWidth="1"/>
    <col min="7429" max="7429" width="13.44140625" style="1204" customWidth="1"/>
    <col min="7430" max="7430" width="9" style="1204"/>
    <col min="7431" max="7431" width="9.33203125" style="1204" bestFit="1" customWidth="1"/>
    <col min="7432" max="7433" width="9" style="1204"/>
    <col min="7434" max="7434" width="9.33203125" style="1204" bestFit="1" customWidth="1"/>
    <col min="7435" max="7435" width="4" style="1204" customWidth="1"/>
    <col min="7436" max="7436" width="5.109375" style="1204" customWidth="1"/>
    <col min="7437" max="7437" width="13.77734375" style="1204" customWidth="1"/>
    <col min="7438" max="7680" width="9" style="1204"/>
    <col min="7681" max="7681" width="4.88671875" style="1204" customWidth="1"/>
    <col min="7682" max="7682" width="13.21875" style="1204" customWidth="1"/>
    <col min="7683" max="7683" width="15.6640625" style="1204" customWidth="1"/>
    <col min="7684" max="7684" width="9.33203125" style="1204" bestFit="1" customWidth="1"/>
    <col min="7685" max="7685" width="13.44140625" style="1204" customWidth="1"/>
    <col min="7686" max="7686" width="9" style="1204"/>
    <col min="7687" max="7687" width="9.33203125" style="1204" bestFit="1" customWidth="1"/>
    <col min="7688" max="7689" width="9" style="1204"/>
    <col min="7690" max="7690" width="9.33203125" style="1204" bestFit="1" customWidth="1"/>
    <col min="7691" max="7691" width="4" style="1204" customWidth="1"/>
    <col min="7692" max="7692" width="5.109375" style="1204" customWidth="1"/>
    <col min="7693" max="7693" width="13.77734375" style="1204" customWidth="1"/>
    <col min="7694" max="7936" width="9" style="1204"/>
    <col min="7937" max="7937" width="4.88671875" style="1204" customWidth="1"/>
    <col min="7938" max="7938" width="13.21875" style="1204" customWidth="1"/>
    <col min="7939" max="7939" width="15.6640625" style="1204" customWidth="1"/>
    <col min="7940" max="7940" width="9.33203125" style="1204" bestFit="1" customWidth="1"/>
    <col min="7941" max="7941" width="13.44140625" style="1204" customWidth="1"/>
    <col min="7942" max="7942" width="9" style="1204"/>
    <col min="7943" max="7943" width="9.33203125" style="1204" bestFit="1" customWidth="1"/>
    <col min="7944" max="7945" width="9" style="1204"/>
    <col min="7946" max="7946" width="9.33203125" style="1204" bestFit="1" customWidth="1"/>
    <col min="7947" max="7947" width="4" style="1204" customWidth="1"/>
    <col min="7948" max="7948" width="5.109375" style="1204" customWidth="1"/>
    <col min="7949" max="7949" width="13.77734375" style="1204" customWidth="1"/>
    <col min="7950" max="8192" width="9" style="1204"/>
    <col min="8193" max="8193" width="4.88671875" style="1204" customWidth="1"/>
    <col min="8194" max="8194" width="13.21875" style="1204" customWidth="1"/>
    <col min="8195" max="8195" width="15.6640625" style="1204" customWidth="1"/>
    <col min="8196" max="8196" width="9.33203125" style="1204" bestFit="1" customWidth="1"/>
    <col min="8197" max="8197" width="13.44140625" style="1204" customWidth="1"/>
    <col min="8198" max="8198" width="9" style="1204"/>
    <col min="8199" max="8199" width="9.33203125" style="1204" bestFit="1" customWidth="1"/>
    <col min="8200" max="8201" width="9" style="1204"/>
    <col min="8202" max="8202" width="9.33203125" style="1204" bestFit="1" customWidth="1"/>
    <col min="8203" max="8203" width="4" style="1204" customWidth="1"/>
    <col min="8204" max="8204" width="5.109375" style="1204" customWidth="1"/>
    <col min="8205" max="8205" width="13.77734375" style="1204" customWidth="1"/>
    <col min="8206" max="8448" width="9" style="1204"/>
    <col min="8449" max="8449" width="4.88671875" style="1204" customWidth="1"/>
    <col min="8450" max="8450" width="13.21875" style="1204" customWidth="1"/>
    <col min="8451" max="8451" width="15.6640625" style="1204" customWidth="1"/>
    <col min="8452" max="8452" width="9.33203125" style="1204" bestFit="1" customWidth="1"/>
    <col min="8453" max="8453" width="13.44140625" style="1204" customWidth="1"/>
    <col min="8454" max="8454" width="9" style="1204"/>
    <col min="8455" max="8455" width="9.33203125" style="1204" bestFit="1" customWidth="1"/>
    <col min="8456" max="8457" width="9" style="1204"/>
    <col min="8458" max="8458" width="9.33203125" style="1204" bestFit="1" customWidth="1"/>
    <col min="8459" max="8459" width="4" style="1204" customWidth="1"/>
    <col min="8460" max="8460" width="5.109375" style="1204" customWidth="1"/>
    <col min="8461" max="8461" width="13.77734375" style="1204" customWidth="1"/>
    <col min="8462" max="8704" width="9" style="1204"/>
    <col min="8705" max="8705" width="4.88671875" style="1204" customWidth="1"/>
    <col min="8706" max="8706" width="13.21875" style="1204" customWidth="1"/>
    <col min="8707" max="8707" width="15.6640625" style="1204" customWidth="1"/>
    <col min="8708" max="8708" width="9.33203125" style="1204" bestFit="1" customWidth="1"/>
    <col min="8709" max="8709" width="13.44140625" style="1204" customWidth="1"/>
    <col min="8710" max="8710" width="9" style="1204"/>
    <col min="8711" max="8711" width="9.33203125" style="1204" bestFit="1" customWidth="1"/>
    <col min="8712" max="8713" width="9" style="1204"/>
    <col min="8714" max="8714" width="9.33203125" style="1204" bestFit="1" customWidth="1"/>
    <col min="8715" max="8715" width="4" style="1204" customWidth="1"/>
    <col min="8716" max="8716" width="5.109375" style="1204" customWidth="1"/>
    <col min="8717" max="8717" width="13.77734375" style="1204" customWidth="1"/>
    <col min="8718" max="8960" width="9" style="1204"/>
    <col min="8961" max="8961" width="4.88671875" style="1204" customWidth="1"/>
    <col min="8962" max="8962" width="13.21875" style="1204" customWidth="1"/>
    <col min="8963" max="8963" width="15.6640625" style="1204" customWidth="1"/>
    <col min="8964" max="8964" width="9.33203125" style="1204" bestFit="1" customWidth="1"/>
    <col min="8965" max="8965" width="13.44140625" style="1204" customWidth="1"/>
    <col min="8966" max="8966" width="9" style="1204"/>
    <col min="8967" max="8967" width="9.33203125" style="1204" bestFit="1" customWidth="1"/>
    <col min="8968" max="8969" width="9" style="1204"/>
    <col min="8970" max="8970" width="9.33203125" style="1204" bestFit="1" customWidth="1"/>
    <col min="8971" max="8971" width="4" style="1204" customWidth="1"/>
    <col min="8972" max="8972" width="5.109375" style="1204" customWidth="1"/>
    <col min="8973" max="8973" width="13.77734375" style="1204" customWidth="1"/>
    <col min="8974" max="9216" width="9" style="1204"/>
    <col min="9217" max="9217" width="4.88671875" style="1204" customWidth="1"/>
    <col min="9218" max="9218" width="13.21875" style="1204" customWidth="1"/>
    <col min="9219" max="9219" width="15.6640625" style="1204" customWidth="1"/>
    <col min="9220" max="9220" width="9.33203125" style="1204" bestFit="1" customWidth="1"/>
    <col min="9221" max="9221" width="13.44140625" style="1204" customWidth="1"/>
    <col min="9222" max="9222" width="9" style="1204"/>
    <col min="9223" max="9223" width="9.33203125" style="1204" bestFit="1" customWidth="1"/>
    <col min="9224" max="9225" width="9" style="1204"/>
    <col min="9226" max="9226" width="9.33203125" style="1204" bestFit="1" customWidth="1"/>
    <col min="9227" max="9227" width="4" style="1204" customWidth="1"/>
    <col min="9228" max="9228" width="5.109375" style="1204" customWidth="1"/>
    <col min="9229" max="9229" width="13.77734375" style="1204" customWidth="1"/>
    <col min="9230" max="9472" width="9" style="1204"/>
    <col min="9473" max="9473" width="4.88671875" style="1204" customWidth="1"/>
    <col min="9474" max="9474" width="13.21875" style="1204" customWidth="1"/>
    <col min="9475" max="9475" width="15.6640625" style="1204" customWidth="1"/>
    <col min="9476" max="9476" width="9.33203125" style="1204" bestFit="1" customWidth="1"/>
    <col min="9477" max="9477" width="13.44140625" style="1204" customWidth="1"/>
    <col min="9478" max="9478" width="9" style="1204"/>
    <col min="9479" max="9479" width="9.33203125" style="1204" bestFit="1" customWidth="1"/>
    <col min="9480" max="9481" width="9" style="1204"/>
    <col min="9482" max="9482" width="9.33203125" style="1204" bestFit="1" customWidth="1"/>
    <col min="9483" max="9483" width="4" style="1204" customWidth="1"/>
    <col min="9484" max="9484" width="5.109375" style="1204" customWidth="1"/>
    <col min="9485" max="9485" width="13.77734375" style="1204" customWidth="1"/>
    <col min="9486" max="9728" width="9" style="1204"/>
    <col min="9729" max="9729" width="4.88671875" style="1204" customWidth="1"/>
    <col min="9730" max="9730" width="13.21875" style="1204" customWidth="1"/>
    <col min="9731" max="9731" width="15.6640625" style="1204" customWidth="1"/>
    <col min="9732" max="9732" width="9.33203125" style="1204" bestFit="1" customWidth="1"/>
    <col min="9733" max="9733" width="13.44140625" style="1204" customWidth="1"/>
    <col min="9734" max="9734" width="9" style="1204"/>
    <col min="9735" max="9735" width="9.33203125" style="1204" bestFit="1" customWidth="1"/>
    <col min="9736" max="9737" width="9" style="1204"/>
    <col min="9738" max="9738" width="9.33203125" style="1204" bestFit="1" customWidth="1"/>
    <col min="9739" max="9739" width="4" style="1204" customWidth="1"/>
    <col min="9740" max="9740" width="5.109375" style="1204" customWidth="1"/>
    <col min="9741" max="9741" width="13.77734375" style="1204" customWidth="1"/>
    <col min="9742" max="9984" width="9" style="1204"/>
    <col min="9985" max="9985" width="4.88671875" style="1204" customWidth="1"/>
    <col min="9986" max="9986" width="13.21875" style="1204" customWidth="1"/>
    <col min="9987" max="9987" width="15.6640625" style="1204" customWidth="1"/>
    <col min="9988" max="9988" width="9.33203125" style="1204" bestFit="1" customWidth="1"/>
    <col min="9989" max="9989" width="13.44140625" style="1204" customWidth="1"/>
    <col min="9990" max="9990" width="9" style="1204"/>
    <col min="9991" max="9991" width="9.33203125" style="1204" bestFit="1" customWidth="1"/>
    <col min="9992" max="9993" width="9" style="1204"/>
    <col min="9994" max="9994" width="9.33203125" style="1204" bestFit="1" customWidth="1"/>
    <col min="9995" max="9995" width="4" style="1204" customWidth="1"/>
    <col min="9996" max="9996" width="5.109375" style="1204" customWidth="1"/>
    <col min="9997" max="9997" width="13.77734375" style="1204" customWidth="1"/>
    <col min="9998" max="10240" width="9" style="1204"/>
    <col min="10241" max="10241" width="4.88671875" style="1204" customWidth="1"/>
    <col min="10242" max="10242" width="13.21875" style="1204" customWidth="1"/>
    <col min="10243" max="10243" width="15.6640625" style="1204" customWidth="1"/>
    <col min="10244" max="10244" width="9.33203125" style="1204" bestFit="1" customWidth="1"/>
    <col min="10245" max="10245" width="13.44140625" style="1204" customWidth="1"/>
    <col min="10246" max="10246" width="9" style="1204"/>
    <col min="10247" max="10247" width="9.33203125" style="1204" bestFit="1" customWidth="1"/>
    <col min="10248" max="10249" width="9" style="1204"/>
    <col min="10250" max="10250" width="9.33203125" style="1204" bestFit="1" customWidth="1"/>
    <col min="10251" max="10251" width="4" style="1204" customWidth="1"/>
    <col min="10252" max="10252" width="5.109375" style="1204" customWidth="1"/>
    <col min="10253" max="10253" width="13.77734375" style="1204" customWidth="1"/>
    <col min="10254" max="10496" width="9" style="1204"/>
    <col min="10497" max="10497" width="4.88671875" style="1204" customWidth="1"/>
    <col min="10498" max="10498" width="13.21875" style="1204" customWidth="1"/>
    <col min="10499" max="10499" width="15.6640625" style="1204" customWidth="1"/>
    <col min="10500" max="10500" width="9.33203125" style="1204" bestFit="1" customWidth="1"/>
    <col min="10501" max="10501" width="13.44140625" style="1204" customWidth="1"/>
    <col min="10502" max="10502" width="9" style="1204"/>
    <col min="10503" max="10503" width="9.33203125" style="1204" bestFit="1" customWidth="1"/>
    <col min="10504" max="10505" width="9" style="1204"/>
    <col min="10506" max="10506" width="9.33203125" style="1204" bestFit="1" customWidth="1"/>
    <col min="10507" max="10507" width="4" style="1204" customWidth="1"/>
    <col min="10508" max="10508" width="5.109375" style="1204" customWidth="1"/>
    <col min="10509" max="10509" width="13.77734375" style="1204" customWidth="1"/>
    <col min="10510" max="10752" width="9" style="1204"/>
    <col min="10753" max="10753" width="4.88671875" style="1204" customWidth="1"/>
    <col min="10754" max="10754" width="13.21875" style="1204" customWidth="1"/>
    <col min="10755" max="10755" width="15.6640625" style="1204" customWidth="1"/>
    <col min="10756" max="10756" width="9.33203125" style="1204" bestFit="1" customWidth="1"/>
    <col min="10757" max="10757" width="13.44140625" style="1204" customWidth="1"/>
    <col min="10758" max="10758" width="9" style="1204"/>
    <col min="10759" max="10759" width="9.33203125" style="1204" bestFit="1" customWidth="1"/>
    <col min="10760" max="10761" width="9" style="1204"/>
    <col min="10762" max="10762" width="9.33203125" style="1204" bestFit="1" customWidth="1"/>
    <col min="10763" max="10763" width="4" style="1204" customWidth="1"/>
    <col min="10764" max="10764" width="5.109375" style="1204" customWidth="1"/>
    <col min="10765" max="10765" width="13.77734375" style="1204" customWidth="1"/>
    <col min="10766" max="11008" width="9" style="1204"/>
    <col min="11009" max="11009" width="4.88671875" style="1204" customWidth="1"/>
    <col min="11010" max="11010" width="13.21875" style="1204" customWidth="1"/>
    <col min="11011" max="11011" width="15.6640625" style="1204" customWidth="1"/>
    <col min="11012" max="11012" width="9.33203125" style="1204" bestFit="1" customWidth="1"/>
    <col min="11013" max="11013" width="13.44140625" style="1204" customWidth="1"/>
    <col min="11014" max="11014" width="9" style="1204"/>
    <col min="11015" max="11015" width="9.33203125" style="1204" bestFit="1" customWidth="1"/>
    <col min="11016" max="11017" width="9" style="1204"/>
    <col min="11018" max="11018" width="9.33203125" style="1204" bestFit="1" customWidth="1"/>
    <col min="11019" max="11019" width="4" style="1204" customWidth="1"/>
    <col min="11020" max="11020" width="5.109375" style="1204" customWidth="1"/>
    <col min="11021" max="11021" width="13.77734375" style="1204" customWidth="1"/>
    <col min="11022" max="11264" width="9" style="1204"/>
    <col min="11265" max="11265" width="4.88671875" style="1204" customWidth="1"/>
    <col min="11266" max="11266" width="13.21875" style="1204" customWidth="1"/>
    <col min="11267" max="11267" width="15.6640625" style="1204" customWidth="1"/>
    <col min="11268" max="11268" width="9.33203125" style="1204" bestFit="1" customWidth="1"/>
    <col min="11269" max="11269" width="13.44140625" style="1204" customWidth="1"/>
    <col min="11270" max="11270" width="9" style="1204"/>
    <col min="11271" max="11271" width="9.33203125" style="1204" bestFit="1" customWidth="1"/>
    <col min="11272" max="11273" width="9" style="1204"/>
    <col min="11274" max="11274" width="9.33203125" style="1204" bestFit="1" customWidth="1"/>
    <col min="11275" max="11275" width="4" style="1204" customWidth="1"/>
    <col min="11276" max="11276" width="5.109375" style="1204" customWidth="1"/>
    <col min="11277" max="11277" width="13.77734375" style="1204" customWidth="1"/>
    <col min="11278" max="11520" width="9" style="1204"/>
    <col min="11521" max="11521" width="4.88671875" style="1204" customWidth="1"/>
    <col min="11522" max="11522" width="13.21875" style="1204" customWidth="1"/>
    <col min="11523" max="11523" width="15.6640625" style="1204" customWidth="1"/>
    <col min="11524" max="11524" width="9.33203125" style="1204" bestFit="1" customWidth="1"/>
    <col min="11525" max="11525" width="13.44140625" style="1204" customWidth="1"/>
    <col min="11526" max="11526" width="9" style="1204"/>
    <col min="11527" max="11527" width="9.33203125" style="1204" bestFit="1" customWidth="1"/>
    <col min="11528" max="11529" width="9" style="1204"/>
    <col min="11530" max="11530" width="9.33203125" style="1204" bestFit="1" customWidth="1"/>
    <col min="11531" max="11531" width="4" style="1204" customWidth="1"/>
    <col min="11532" max="11532" width="5.109375" style="1204" customWidth="1"/>
    <col min="11533" max="11533" width="13.77734375" style="1204" customWidth="1"/>
    <col min="11534" max="11776" width="9" style="1204"/>
    <col min="11777" max="11777" width="4.88671875" style="1204" customWidth="1"/>
    <col min="11778" max="11778" width="13.21875" style="1204" customWidth="1"/>
    <col min="11779" max="11779" width="15.6640625" style="1204" customWidth="1"/>
    <col min="11780" max="11780" width="9.33203125" style="1204" bestFit="1" customWidth="1"/>
    <col min="11781" max="11781" width="13.44140625" style="1204" customWidth="1"/>
    <col min="11782" max="11782" width="9" style="1204"/>
    <col min="11783" max="11783" width="9.33203125" style="1204" bestFit="1" customWidth="1"/>
    <col min="11784" max="11785" width="9" style="1204"/>
    <col min="11786" max="11786" width="9.33203125" style="1204" bestFit="1" customWidth="1"/>
    <col min="11787" max="11787" width="4" style="1204" customWidth="1"/>
    <col min="11788" max="11788" width="5.109375" style="1204" customWidth="1"/>
    <col min="11789" max="11789" width="13.77734375" style="1204" customWidth="1"/>
    <col min="11790" max="12032" width="9" style="1204"/>
    <col min="12033" max="12033" width="4.88671875" style="1204" customWidth="1"/>
    <col min="12034" max="12034" width="13.21875" style="1204" customWidth="1"/>
    <col min="12035" max="12035" width="15.6640625" style="1204" customWidth="1"/>
    <col min="12036" max="12036" width="9.33203125" style="1204" bestFit="1" customWidth="1"/>
    <col min="12037" max="12037" width="13.44140625" style="1204" customWidth="1"/>
    <col min="12038" max="12038" width="9" style="1204"/>
    <col min="12039" max="12039" width="9.33203125" style="1204" bestFit="1" customWidth="1"/>
    <col min="12040" max="12041" width="9" style="1204"/>
    <col min="12042" max="12042" width="9.33203125" style="1204" bestFit="1" customWidth="1"/>
    <col min="12043" max="12043" width="4" style="1204" customWidth="1"/>
    <col min="12044" max="12044" width="5.109375" style="1204" customWidth="1"/>
    <col min="12045" max="12045" width="13.77734375" style="1204" customWidth="1"/>
    <col min="12046" max="12288" width="9" style="1204"/>
    <col min="12289" max="12289" width="4.88671875" style="1204" customWidth="1"/>
    <col min="12290" max="12290" width="13.21875" style="1204" customWidth="1"/>
    <col min="12291" max="12291" width="15.6640625" style="1204" customWidth="1"/>
    <col min="12292" max="12292" width="9.33203125" style="1204" bestFit="1" customWidth="1"/>
    <col min="12293" max="12293" width="13.44140625" style="1204" customWidth="1"/>
    <col min="12294" max="12294" width="9" style="1204"/>
    <col min="12295" max="12295" width="9.33203125" style="1204" bestFit="1" customWidth="1"/>
    <col min="12296" max="12297" width="9" style="1204"/>
    <col min="12298" max="12298" width="9.33203125" style="1204" bestFit="1" customWidth="1"/>
    <col min="12299" max="12299" width="4" style="1204" customWidth="1"/>
    <col min="12300" max="12300" width="5.109375" style="1204" customWidth="1"/>
    <col min="12301" max="12301" width="13.77734375" style="1204" customWidth="1"/>
    <col min="12302" max="12544" width="9" style="1204"/>
    <col min="12545" max="12545" width="4.88671875" style="1204" customWidth="1"/>
    <col min="12546" max="12546" width="13.21875" style="1204" customWidth="1"/>
    <col min="12547" max="12547" width="15.6640625" style="1204" customWidth="1"/>
    <col min="12548" max="12548" width="9.33203125" style="1204" bestFit="1" customWidth="1"/>
    <col min="12549" max="12549" width="13.44140625" style="1204" customWidth="1"/>
    <col min="12550" max="12550" width="9" style="1204"/>
    <col min="12551" max="12551" width="9.33203125" style="1204" bestFit="1" customWidth="1"/>
    <col min="12552" max="12553" width="9" style="1204"/>
    <col min="12554" max="12554" width="9.33203125" style="1204" bestFit="1" customWidth="1"/>
    <col min="12555" max="12555" width="4" style="1204" customWidth="1"/>
    <col min="12556" max="12556" width="5.109375" style="1204" customWidth="1"/>
    <col min="12557" max="12557" width="13.77734375" style="1204" customWidth="1"/>
    <col min="12558" max="12800" width="9" style="1204"/>
    <col min="12801" max="12801" width="4.88671875" style="1204" customWidth="1"/>
    <col min="12802" max="12802" width="13.21875" style="1204" customWidth="1"/>
    <col min="12803" max="12803" width="15.6640625" style="1204" customWidth="1"/>
    <col min="12804" max="12804" width="9.33203125" style="1204" bestFit="1" customWidth="1"/>
    <col min="12805" max="12805" width="13.44140625" style="1204" customWidth="1"/>
    <col min="12806" max="12806" width="9" style="1204"/>
    <col min="12807" max="12807" width="9.33203125" style="1204" bestFit="1" customWidth="1"/>
    <col min="12808" max="12809" width="9" style="1204"/>
    <col min="12810" max="12810" width="9.33203125" style="1204" bestFit="1" customWidth="1"/>
    <col min="12811" max="12811" width="4" style="1204" customWidth="1"/>
    <col min="12812" max="12812" width="5.109375" style="1204" customWidth="1"/>
    <col min="12813" max="12813" width="13.77734375" style="1204" customWidth="1"/>
    <col min="12814" max="13056" width="9" style="1204"/>
    <col min="13057" max="13057" width="4.88671875" style="1204" customWidth="1"/>
    <col min="13058" max="13058" width="13.21875" style="1204" customWidth="1"/>
    <col min="13059" max="13059" width="15.6640625" style="1204" customWidth="1"/>
    <col min="13060" max="13060" width="9.33203125" style="1204" bestFit="1" customWidth="1"/>
    <col min="13061" max="13061" width="13.44140625" style="1204" customWidth="1"/>
    <col min="13062" max="13062" width="9" style="1204"/>
    <col min="13063" max="13063" width="9.33203125" style="1204" bestFit="1" customWidth="1"/>
    <col min="13064" max="13065" width="9" style="1204"/>
    <col min="13066" max="13066" width="9.33203125" style="1204" bestFit="1" customWidth="1"/>
    <col min="13067" max="13067" width="4" style="1204" customWidth="1"/>
    <col min="13068" max="13068" width="5.109375" style="1204" customWidth="1"/>
    <col min="13069" max="13069" width="13.77734375" style="1204" customWidth="1"/>
    <col min="13070" max="13312" width="9" style="1204"/>
    <col min="13313" max="13313" width="4.88671875" style="1204" customWidth="1"/>
    <col min="13314" max="13314" width="13.21875" style="1204" customWidth="1"/>
    <col min="13315" max="13315" width="15.6640625" style="1204" customWidth="1"/>
    <col min="13316" max="13316" width="9.33203125" style="1204" bestFit="1" customWidth="1"/>
    <col min="13317" max="13317" width="13.44140625" style="1204" customWidth="1"/>
    <col min="13318" max="13318" width="9" style="1204"/>
    <col min="13319" max="13319" width="9.33203125" style="1204" bestFit="1" customWidth="1"/>
    <col min="13320" max="13321" width="9" style="1204"/>
    <col min="13322" max="13322" width="9.33203125" style="1204" bestFit="1" customWidth="1"/>
    <col min="13323" max="13323" width="4" style="1204" customWidth="1"/>
    <col min="13324" max="13324" width="5.109375" style="1204" customWidth="1"/>
    <col min="13325" max="13325" width="13.77734375" style="1204" customWidth="1"/>
    <col min="13326" max="13568" width="9" style="1204"/>
    <col min="13569" max="13569" width="4.88671875" style="1204" customWidth="1"/>
    <col min="13570" max="13570" width="13.21875" style="1204" customWidth="1"/>
    <col min="13571" max="13571" width="15.6640625" style="1204" customWidth="1"/>
    <col min="13572" max="13572" width="9.33203125" style="1204" bestFit="1" customWidth="1"/>
    <col min="13573" max="13573" width="13.44140625" style="1204" customWidth="1"/>
    <col min="13574" max="13574" width="9" style="1204"/>
    <col min="13575" max="13575" width="9.33203125" style="1204" bestFit="1" customWidth="1"/>
    <col min="13576" max="13577" width="9" style="1204"/>
    <col min="13578" max="13578" width="9.33203125" style="1204" bestFit="1" customWidth="1"/>
    <col min="13579" max="13579" width="4" style="1204" customWidth="1"/>
    <col min="13580" max="13580" width="5.109375" style="1204" customWidth="1"/>
    <col min="13581" max="13581" width="13.77734375" style="1204" customWidth="1"/>
    <col min="13582" max="13824" width="9" style="1204"/>
    <col min="13825" max="13825" width="4.88671875" style="1204" customWidth="1"/>
    <col min="13826" max="13826" width="13.21875" style="1204" customWidth="1"/>
    <col min="13827" max="13827" width="15.6640625" style="1204" customWidth="1"/>
    <col min="13828" max="13828" width="9.33203125" style="1204" bestFit="1" customWidth="1"/>
    <col min="13829" max="13829" width="13.44140625" style="1204" customWidth="1"/>
    <col min="13830" max="13830" width="9" style="1204"/>
    <col min="13831" max="13831" width="9.33203125" style="1204" bestFit="1" customWidth="1"/>
    <col min="13832" max="13833" width="9" style="1204"/>
    <col min="13834" max="13834" width="9.33203125" style="1204" bestFit="1" customWidth="1"/>
    <col min="13835" max="13835" width="4" style="1204" customWidth="1"/>
    <col min="13836" max="13836" width="5.109375" style="1204" customWidth="1"/>
    <col min="13837" max="13837" width="13.77734375" style="1204" customWidth="1"/>
    <col min="13838" max="14080" width="9" style="1204"/>
    <col min="14081" max="14081" width="4.88671875" style="1204" customWidth="1"/>
    <col min="14082" max="14082" width="13.21875" style="1204" customWidth="1"/>
    <col min="14083" max="14083" width="15.6640625" style="1204" customWidth="1"/>
    <col min="14084" max="14084" width="9.33203125" style="1204" bestFit="1" customWidth="1"/>
    <col min="14085" max="14085" width="13.44140625" style="1204" customWidth="1"/>
    <col min="14086" max="14086" width="9" style="1204"/>
    <col min="14087" max="14087" width="9.33203125" style="1204" bestFit="1" customWidth="1"/>
    <col min="14088" max="14089" width="9" style="1204"/>
    <col min="14090" max="14090" width="9.33203125" style="1204" bestFit="1" customWidth="1"/>
    <col min="14091" max="14091" width="4" style="1204" customWidth="1"/>
    <col min="14092" max="14092" width="5.109375" style="1204" customWidth="1"/>
    <col min="14093" max="14093" width="13.77734375" style="1204" customWidth="1"/>
    <col min="14094" max="14336" width="9" style="1204"/>
    <col min="14337" max="14337" width="4.88671875" style="1204" customWidth="1"/>
    <col min="14338" max="14338" width="13.21875" style="1204" customWidth="1"/>
    <col min="14339" max="14339" width="15.6640625" style="1204" customWidth="1"/>
    <col min="14340" max="14340" width="9.33203125" style="1204" bestFit="1" customWidth="1"/>
    <col min="14341" max="14341" width="13.44140625" style="1204" customWidth="1"/>
    <col min="14342" max="14342" width="9" style="1204"/>
    <col min="14343" max="14343" width="9.33203125" style="1204" bestFit="1" customWidth="1"/>
    <col min="14344" max="14345" width="9" style="1204"/>
    <col min="14346" max="14346" width="9.33203125" style="1204" bestFit="1" customWidth="1"/>
    <col min="14347" max="14347" width="4" style="1204" customWidth="1"/>
    <col min="14348" max="14348" width="5.109375" style="1204" customWidth="1"/>
    <col min="14349" max="14349" width="13.77734375" style="1204" customWidth="1"/>
    <col min="14350" max="14592" width="9" style="1204"/>
    <col min="14593" max="14593" width="4.88671875" style="1204" customWidth="1"/>
    <col min="14594" max="14594" width="13.21875" style="1204" customWidth="1"/>
    <col min="14595" max="14595" width="15.6640625" style="1204" customWidth="1"/>
    <col min="14596" max="14596" width="9.33203125" style="1204" bestFit="1" customWidth="1"/>
    <col min="14597" max="14597" width="13.44140625" style="1204" customWidth="1"/>
    <col min="14598" max="14598" width="9" style="1204"/>
    <col min="14599" max="14599" width="9.33203125" style="1204" bestFit="1" customWidth="1"/>
    <col min="14600" max="14601" width="9" style="1204"/>
    <col min="14602" max="14602" width="9.33203125" style="1204" bestFit="1" customWidth="1"/>
    <col min="14603" max="14603" width="4" style="1204" customWidth="1"/>
    <col min="14604" max="14604" width="5.109375" style="1204" customWidth="1"/>
    <col min="14605" max="14605" width="13.77734375" style="1204" customWidth="1"/>
    <col min="14606" max="14848" width="9" style="1204"/>
    <col min="14849" max="14849" width="4.88671875" style="1204" customWidth="1"/>
    <col min="14850" max="14850" width="13.21875" style="1204" customWidth="1"/>
    <col min="14851" max="14851" width="15.6640625" style="1204" customWidth="1"/>
    <col min="14852" max="14852" width="9.33203125" style="1204" bestFit="1" customWidth="1"/>
    <col min="14853" max="14853" width="13.44140625" style="1204" customWidth="1"/>
    <col min="14854" max="14854" width="9" style="1204"/>
    <col min="14855" max="14855" width="9.33203125" style="1204" bestFit="1" customWidth="1"/>
    <col min="14856" max="14857" width="9" style="1204"/>
    <col min="14858" max="14858" width="9.33203125" style="1204" bestFit="1" customWidth="1"/>
    <col min="14859" max="14859" width="4" style="1204" customWidth="1"/>
    <col min="14860" max="14860" width="5.109375" style="1204" customWidth="1"/>
    <col min="14861" max="14861" width="13.77734375" style="1204" customWidth="1"/>
    <col min="14862" max="15104" width="9" style="1204"/>
    <col min="15105" max="15105" width="4.88671875" style="1204" customWidth="1"/>
    <col min="15106" max="15106" width="13.21875" style="1204" customWidth="1"/>
    <col min="15107" max="15107" width="15.6640625" style="1204" customWidth="1"/>
    <col min="15108" max="15108" width="9.33203125" style="1204" bestFit="1" customWidth="1"/>
    <col min="15109" max="15109" width="13.44140625" style="1204" customWidth="1"/>
    <col min="15110" max="15110" width="9" style="1204"/>
    <col min="15111" max="15111" width="9.33203125" style="1204" bestFit="1" customWidth="1"/>
    <col min="15112" max="15113" width="9" style="1204"/>
    <col min="15114" max="15114" width="9.33203125" style="1204" bestFit="1" customWidth="1"/>
    <col min="15115" max="15115" width="4" style="1204" customWidth="1"/>
    <col min="15116" max="15116" width="5.109375" style="1204" customWidth="1"/>
    <col min="15117" max="15117" width="13.77734375" style="1204" customWidth="1"/>
    <col min="15118" max="15360" width="9" style="1204"/>
    <col min="15361" max="15361" width="4.88671875" style="1204" customWidth="1"/>
    <col min="15362" max="15362" width="13.21875" style="1204" customWidth="1"/>
    <col min="15363" max="15363" width="15.6640625" style="1204" customWidth="1"/>
    <col min="15364" max="15364" width="9.33203125" style="1204" bestFit="1" customWidth="1"/>
    <col min="15365" max="15365" width="13.44140625" style="1204" customWidth="1"/>
    <col min="15366" max="15366" width="9" style="1204"/>
    <col min="15367" max="15367" width="9.33203125" style="1204" bestFit="1" customWidth="1"/>
    <col min="15368" max="15369" width="9" style="1204"/>
    <col min="15370" max="15370" width="9.33203125" style="1204" bestFit="1" customWidth="1"/>
    <col min="15371" max="15371" width="4" style="1204" customWidth="1"/>
    <col min="15372" max="15372" width="5.109375" style="1204" customWidth="1"/>
    <col min="15373" max="15373" width="13.77734375" style="1204" customWidth="1"/>
    <col min="15374" max="15616" width="9" style="1204"/>
    <col min="15617" max="15617" width="4.88671875" style="1204" customWidth="1"/>
    <col min="15618" max="15618" width="13.21875" style="1204" customWidth="1"/>
    <col min="15619" max="15619" width="15.6640625" style="1204" customWidth="1"/>
    <col min="15620" max="15620" width="9.33203125" style="1204" bestFit="1" customWidth="1"/>
    <col min="15621" max="15621" width="13.44140625" style="1204" customWidth="1"/>
    <col min="15622" max="15622" width="9" style="1204"/>
    <col min="15623" max="15623" width="9.33203125" style="1204" bestFit="1" customWidth="1"/>
    <col min="15624" max="15625" width="9" style="1204"/>
    <col min="15626" max="15626" width="9.33203125" style="1204" bestFit="1" customWidth="1"/>
    <col min="15627" max="15627" width="4" style="1204" customWidth="1"/>
    <col min="15628" max="15628" width="5.109375" style="1204" customWidth="1"/>
    <col min="15629" max="15629" width="13.77734375" style="1204" customWidth="1"/>
    <col min="15630" max="15872" width="9" style="1204"/>
    <col min="15873" max="15873" width="4.88671875" style="1204" customWidth="1"/>
    <col min="15874" max="15874" width="13.21875" style="1204" customWidth="1"/>
    <col min="15875" max="15875" width="15.6640625" style="1204" customWidth="1"/>
    <col min="15876" max="15876" width="9.33203125" style="1204" bestFit="1" customWidth="1"/>
    <col min="15877" max="15877" width="13.44140625" style="1204" customWidth="1"/>
    <col min="15878" max="15878" width="9" style="1204"/>
    <col min="15879" max="15879" width="9.33203125" style="1204" bestFit="1" customWidth="1"/>
    <col min="15880" max="15881" width="9" style="1204"/>
    <col min="15882" max="15882" width="9.33203125" style="1204" bestFit="1" customWidth="1"/>
    <col min="15883" max="15883" width="4" style="1204" customWidth="1"/>
    <col min="15884" max="15884" width="5.109375" style="1204" customWidth="1"/>
    <col min="15885" max="15885" width="13.77734375" style="1204" customWidth="1"/>
    <col min="15886" max="16128" width="9" style="1204"/>
    <col min="16129" max="16129" width="4.88671875" style="1204" customWidth="1"/>
    <col min="16130" max="16130" width="13.21875" style="1204" customWidth="1"/>
    <col min="16131" max="16131" width="15.6640625" style="1204" customWidth="1"/>
    <col min="16132" max="16132" width="9.33203125" style="1204" bestFit="1" customWidth="1"/>
    <col min="16133" max="16133" width="13.44140625" style="1204" customWidth="1"/>
    <col min="16134" max="16134" width="9" style="1204"/>
    <col min="16135" max="16135" width="9.33203125" style="1204" bestFit="1" customWidth="1"/>
    <col min="16136" max="16137" width="9" style="1204"/>
    <col min="16138" max="16138" width="9.33203125" style="1204" bestFit="1" customWidth="1"/>
    <col min="16139" max="16139" width="4" style="1204" customWidth="1"/>
    <col min="16140" max="16140" width="5.109375" style="1204" customWidth="1"/>
    <col min="16141" max="16141" width="13.77734375" style="1204" customWidth="1"/>
    <col min="16142" max="16384" width="9" style="1204"/>
  </cols>
  <sheetData>
    <row r="1" spans="1:257" s="1267" customFormat="1" ht="1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6"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399999999999999">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2">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31.2">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1" customFormat="1" ht="15.6">
      <c r="A17" s="3118"/>
      <c r="B17" s="1250" t="s">
        <v>2829</v>
      </c>
      <c r="C17" s="1259">
        <v>43697</v>
      </c>
      <c r="D17" s="3119">
        <v>4.25</v>
      </c>
      <c r="E17" s="3119">
        <f>D17</f>
        <v>4.25</v>
      </c>
      <c r="F17" s="3119">
        <f>D17</f>
        <v>4.25</v>
      </c>
      <c r="G17" s="3119">
        <f>D17</f>
        <v>4.25</v>
      </c>
      <c r="H17" s="3119">
        <v>4.8499999999999996</v>
      </c>
      <c r="I17" s="3119"/>
      <c r="J17" s="3119"/>
      <c r="K17" s="3118"/>
      <c r="L17" s="1256"/>
      <c r="M17" s="1257">
        <v>42135</v>
      </c>
      <c r="N17" s="1256">
        <v>0.35</v>
      </c>
      <c r="O17" s="1256">
        <v>1.85</v>
      </c>
      <c r="P17" s="1256">
        <v>2.0499999999999998</v>
      </c>
      <c r="Q17" s="1256">
        <v>2.25</v>
      </c>
      <c r="R17" s="1256">
        <v>2.85</v>
      </c>
      <c r="S17" s="1256">
        <v>3.5</v>
      </c>
      <c r="T17" s="1256"/>
      <c r="U17" s="1256"/>
      <c r="V17" s="1256"/>
      <c r="W17" s="1256"/>
      <c r="X17" s="1256"/>
      <c r="Y17" s="1256"/>
      <c r="Z17" s="1256"/>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6.8">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4.4"/>
  <cols>
    <col min="14" max="14" width="11" bestFit="1" customWidth="1"/>
    <col min="15" max="15" width="12.77734375" bestFit="1" customWidth="1"/>
  </cols>
  <sheetData>
    <row r="2" spans="14:15">
      <c r="N2" s="1310"/>
    </row>
    <row r="3" spans="14:15">
      <c r="N3" s="1310" t="s">
        <v>3011</v>
      </c>
      <c r="O3" s="1310">
        <v>31000</v>
      </c>
    </row>
    <row r="4" spans="14:15">
      <c r="N4" s="1310" t="s">
        <v>3012</v>
      </c>
      <c r="O4" s="1310" t="s">
        <v>3013</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1" sqref="F31"/>
    </sheetView>
  </sheetViews>
  <sheetFormatPr defaultRowHeight="14.4"/>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0" customWidth="1"/>
    <col min="2" max="2" width="37.88671875" style="1310" customWidth="1"/>
    <col min="3" max="3" width="16.109375" style="1310" customWidth="1"/>
    <col min="4" max="4" width="22.21875" style="1310" customWidth="1"/>
    <col min="5" max="5" width="4.109375" style="1310" customWidth="1"/>
    <col min="6" max="7" width="13" style="1310" customWidth="1"/>
    <col min="8" max="16384" width="9" style="1310"/>
  </cols>
  <sheetData>
    <row r="1" spans="1:5" ht="17.399999999999999">
      <c r="A1" s="1330" t="s">
        <v>774</v>
      </c>
      <c r="B1" s="1328"/>
      <c r="C1" s="1328"/>
      <c r="D1" s="1328"/>
      <c r="E1" s="1328"/>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331"/>
      <c r="B3" s="1331"/>
      <c r="C3" s="1331"/>
      <c r="D3" s="1331"/>
      <c r="E3" s="1331"/>
    </row>
    <row r="4" spans="1:5" ht="18" thickBot="1">
      <c r="A4" s="3342" t="str">
        <f>IF(项目基本情况!D5="房地产市场价值","估价结果一览表（市场价值不需本页表格)","估价结果一览表")</f>
        <v>估价结果一览表</v>
      </c>
      <c r="B4" s="3342"/>
      <c r="C4" s="3342"/>
      <c r="D4" s="3342"/>
      <c r="E4" s="3342"/>
    </row>
    <row r="5" spans="1:5" ht="14.25" customHeight="1" thickTop="1">
      <c r="A5" s="1328"/>
      <c r="B5" s="1332" t="s">
        <v>742</v>
      </c>
      <c r="C5" s="3343" t="s">
        <v>775</v>
      </c>
      <c r="D5" s="3344"/>
      <c r="E5" s="1328"/>
    </row>
    <row r="6" spans="1:5" ht="15.6">
      <c r="A6" s="1328"/>
      <c r="B6" s="1333" t="str">
        <f>项目基本情况!I1</f>
        <v>北京市房地产</v>
      </c>
      <c r="C6" s="3345">
        <f>项目基本情况!C12</f>
        <v>393.43</v>
      </c>
      <c r="D6" s="3345"/>
      <c r="E6" s="1328"/>
    </row>
    <row r="7" spans="1:5" ht="15.6">
      <c r="A7" s="1328"/>
      <c r="B7" s="3339" t="s">
        <v>776</v>
      </c>
      <c r="C7" s="1334" t="str">
        <f>IF('数据-取费表'!B3="万元","总价（万元）","总价（元）")</f>
        <v>总价（万元）</v>
      </c>
      <c r="D7" s="1335">
        <f ca="1">IF('数据-取费表'!E3="否",结果表!I102,'结果表 (1修多)'!I104)</f>
        <v>1138</v>
      </c>
      <c r="E7" s="1328"/>
    </row>
    <row r="8" spans="1:5" ht="15.6">
      <c r="A8" s="1328"/>
      <c r="B8" s="3339"/>
      <c r="C8" s="1336" t="s">
        <v>1106</v>
      </c>
      <c r="D8" s="1337" t="str">
        <f ca="1">IF('数据-取费表'!B3="万元",NUMBERSTRING(INT(D7*10000),2)&amp;"元整",NUMBERSTRING(INT(D7),2)&amp;"元整")</f>
        <v>壹仟壹佰叁拾捌万元整</v>
      </c>
      <c r="E8" s="1328"/>
    </row>
    <row r="9" spans="1:5" ht="15.6">
      <c r="A9" s="1328"/>
      <c r="B9" s="3339"/>
      <c r="C9" s="1338" t="s">
        <v>1203</v>
      </c>
      <c r="D9" s="1335">
        <f ca="1">IF('数据-取费表'!E3="否",结果表!I103,'结果表 (1修多)'!I105)</f>
        <v>28925</v>
      </c>
      <c r="E9" s="1328"/>
    </row>
    <row r="10" spans="1:5" ht="15.6">
      <c r="A10" s="1328"/>
      <c r="B10" s="3346"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5.6">
      <c r="A11" s="1328"/>
      <c r="B11" s="3346"/>
      <c r="C11" s="1336" t="s">
        <v>1106</v>
      </c>
      <c r="D11" s="1337" t="str">
        <f>IF('数据-取费表'!B3="万元",NUMBERSTRING(INT(D10*10000),2)&amp;"元整",NUMBERSTRING(INT(D10),2)&amp;"元整")</f>
        <v>零元整</v>
      </c>
      <c r="E11" s="1328"/>
    </row>
    <row r="12" spans="1:5" ht="15.6">
      <c r="A12" s="1328"/>
      <c r="B12" s="1340" t="s">
        <v>743</v>
      </c>
      <c r="C12" s="1341" t="str">
        <f>C10</f>
        <v>总额（万元）</v>
      </c>
      <c r="D12" s="1342">
        <f>IF('数据-取费表'!E3="否",结果表!I106,'结果表 (1修多)'!I108)</f>
        <v>0</v>
      </c>
      <c r="E12" s="1328"/>
    </row>
    <row r="13" spans="1:5" ht="15.6">
      <c r="A13" s="1328"/>
      <c r="B13" s="1340" t="s">
        <v>744</v>
      </c>
      <c r="C13" s="1341" t="str">
        <f>C10</f>
        <v>总额（万元）</v>
      </c>
      <c r="D13" s="1342">
        <f>IF('数据-取费表'!E3="否",结果表!I107,'结果表 (1修多)'!I109)</f>
        <v>0</v>
      </c>
      <c r="E13" s="1328"/>
    </row>
    <row r="14" spans="1:5" ht="15.6">
      <c r="A14" s="1328"/>
      <c r="B14" s="1340" t="s">
        <v>745</v>
      </c>
      <c r="C14" s="1341" t="str">
        <f>C10</f>
        <v>总额（万元）</v>
      </c>
      <c r="D14" s="1342">
        <f>IF('数据-取费表'!E3="否",结果表!I108,'结果表 (1修多)'!I110)</f>
        <v>0</v>
      </c>
      <c r="E14" s="1328"/>
    </row>
    <row r="15" spans="1:5" ht="15.6">
      <c r="A15" s="1328"/>
      <c r="B15" s="3346" t="str">
        <f>IF('数据-取费表'!E3="否",结果表!F110,'结果表 (1修多)'!F112)</f>
        <v>3.房地产抵押价值</v>
      </c>
      <c r="C15" s="1329" t="str">
        <f>C7</f>
        <v>总价（万元）</v>
      </c>
      <c r="D15" s="1335">
        <f ca="1">IF('数据-取费表'!E3="否",结果表!I110,'结果表 (1修多)'!I112)</f>
        <v>1138</v>
      </c>
      <c r="E15" s="1328"/>
    </row>
    <row r="16" spans="1:5" ht="15.6">
      <c r="A16" s="1328"/>
      <c r="B16" s="3346"/>
      <c r="C16" s="1336" t="s">
        <v>1106</v>
      </c>
      <c r="D16" s="1335" t="str">
        <f ca="1">IF('数据-取费表'!B3="万元",NUMBERSTRING(INT(D15*10000),2)&amp;"元整",NUMBERSTRING(INT(D15),2)&amp;"元整")</f>
        <v>壹仟壹佰叁拾捌万元整</v>
      </c>
      <c r="E16" s="1328"/>
    </row>
    <row r="17" spans="1:5" ht="15.6">
      <c r="A17" s="1328"/>
      <c r="B17" s="3346"/>
      <c r="C17" s="1338" t="s">
        <v>1203</v>
      </c>
      <c r="D17" s="1335">
        <f ca="1">IF('数据-取费表'!E3="否",结果表!I111,'结果表 (1修多)'!I113)</f>
        <v>28925</v>
      </c>
      <c r="E17" s="1328"/>
    </row>
    <row r="18" spans="1:5" ht="15.6">
      <c r="A18" s="1328"/>
      <c r="B18" s="3346" t="str">
        <f>IF('数据-取费表'!E3="否",结果表!F112,'结果表 (1修多)'!F114)</f>
        <v>——</v>
      </c>
      <c r="C18" s="1329" t="str">
        <f>C7</f>
        <v>总价（万元）</v>
      </c>
      <c r="D18" s="1335" t="str">
        <f>IF('数据-取费表'!E3="否",结果表!I112,'结果表 (1修多)'!I114)</f>
        <v>——</v>
      </c>
      <c r="E18" s="1328"/>
    </row>
    <row r="19" spans="1:5" ht="15.6">
      <c r="A19" s="1328"/>
      <c r="B19" s="3346"/>
      <c r="C19" s="1336" t="s">
        <v>1106</v>
      </c>
      <c r="D19" s="1335" t="e">
        <f>IF('数据-取费表'!B3="万元",NUMBERSTRING(INT(D18*10000),2)&amp;"元整",NUMBERSTRING(INT(D18),2)&amp;"元整")</f>
        <v>#VALUE!</v>
      </c>
      <c r="E19" s="1328"/>
    </row>
    <row r="20" spans="1:5" ht="15.6">
      <c r="A20" s="1328"/>
      <c r="B20" s="3346"/>
      <c r="C20" s="1338" t="s">
        <v>1203</v>
      </c>
      <c r="D20" s="1335" t="str">
        <f>IF('数据-取费表'!E3="否",结果表!I113,'结果表 (1修多)'!I115)</f>
        <v>——</v>
      </c>
      <c r="E20" s="1328"/>
    </row>
    <row r="21" spans="1:5" ht="15.6">
      <c r="A21" s="1328"/>
      <c r="B21" s="3339" t="str">
        <f>IF('数据-取费表'!E3="否",结果表!F114,'结果表 (1修多)'!F116)</f>
        <v>——</v>
      </c>
      <c r="C21" s="1334" t="str">
        <f>C7</f>
        <v>总价（万元）</v>
      </c>
      <c r="D21" s="1335" t="str">
        <f>IF('数据-取费表'!E3="否",结果表!I114,'结果表 (1修多)'!I116)</f>
        <v>——</v>
      </c>
      <c r="E21" s="1328"/>
    </row>
    <row r="22" spans="1:5" ht="15.6">
      <c r="A22" s="1328"/>
      <c r="B22" s="3339"/>
      <c r="C22" s="1336" t="s">
        <v>1106</v>
      </c>
      <c r="D22" s="1337" t="e">
        <f>IF('数据-取费表'!B3="万元",NUMBERSTRING(INT(D21*10000),2)&amp;"元整",NUMBERSTRING(INT(D21),2)&amp;"元整")</f>
        <v>#VALUE!</v>
      </c>
      <c r="E22" s="1328"/>
    </row>
    <row r="23" spans="1:5" ht="16.2" thickBot="1">
      <c r="A23" s="1328"/>
      <c r="B23" s="3340"/>
      <c r="C23" s="1343" t="s">
        <v>1203</v>
      </c>
      <c r="D23" s="1344" t="str">
        <f ca="1">IF('数据-取费表'!E3="否",结果表!I115,'结果表 (1修多)'!I117)</f>
        <v>——</v>
      </c>
      <c r="E23" s="1328"/>
    </row>
    <row r="24" spans="1:5" ht="15" thickTop="1">
      <c r="A24" s="1328"/>
      <c r="B24" s="1328"/>
      <c r="C24" s="1328"/>
      <c r="D24" s="1328"/>
      <c r="E24" s="1328"/>
    </row>
    <row r="25" spans="1:5" ht="18.75" customHeight="1" thickBot="1">
      <c r="A25" s="1328"/>
      <c r="B25" s="3331" t="s">
        <v>1204</v>
      </c>
      <c r="C25" s="3331"/>
      <c r="D25" s="3331"/>
      <c r="E25" s="1328"/>
    </row>
    <row r="26" spans="1:5" ht="18.75" customHeight="1" thickTop="1">
      <c r="A26" s="1328"/>
      <c r="B26" s="3334" t="s">
        <v>1105</v>
      </c>
      <c r="C26" s="3335"/>
      <c r="D26" s="3332" t="s">
        <v>1104</v>
      </c>
      <c r="E26" s="1328"/>
    </row>
    <row r="27" spans="1:5" ht="18.75" customHeight="1">
      <c r="A27" s="1328"/>
      <c r="B27" s="3336"/>
      <c r="C27" s="3337"/>
      <c r="D27" s="3333"/>
      <c r="E27" s="1328"/>
    </row>
    <row r="28" spans="1:5" ht="15.6">
      <c r="A28" s="1328"/>
      <c r="B28" s="3324" t="s">
        <v>776</v>
      </c>
      <c r="C28" s="1345" t="s">
        <v>1107</v>
      </c>
      <c r="D28" s="1346">
        <f ca="1">IF('数据-取费表'!E3="否",结果表!I102,'结果表 (1修多)'!I104)</f>
        <v>1138</v>
      </c>
      <c r="E28" s="1328"/>
    </row>
    <row r="29" spans="1:5" ht="15.6">
      <c r="A29" s="1328"/>
      <c r="B29" s="3325"/>
      <c r="C29" s="1347" t="s">
        <v>1106</v>
      </c>
      <c r="D29" s="1348" t="str">
        <f ca="1">IF('数据-取费表'!B3="万元",NUMBERSTRING(INT(D28*10000),2)&amp;"元整",NUMBERSTRING(INT(D28),2)&amp;"元整")</f>
        <v>壹仟壹佰叁拾捌万元整</v>
      </c>
      <c r="E29" s="1328"/>
    </row>
    <row r="30" spans="1:5" ht="15.6">
      <c r="A30" s="1328"/>
      <c r="B30" s="3326"/>
      <c r="C30" s="1338" t="s">
        <v>1109</v>
      </c>
      <c r="D30" s="1349">
        <f ca="1">IF('数据-取费表'!E3="否",结果表!I103,'结果表 (1修多)'!I105)</f>
        <v>28925</v>
      </c>
      <c r="E30" s="1328"/>
    </row>
    <row r="31" spans="1:5" ht="15.6">
      <c r="A31" s="1328"/>
      <c r="B31" s="3329" t="str">
        <f>B10</f>
        <v>2.估价师所知悉的法定优先受偿款</v>
      </c>
      <c r="C31" s="1350" t="s">
        <v>1108</v>
      </c>
      <c r="D31" s="1351">
        <f>IF('数据-取费表'!E3="否",结果表!I105,'结果表 (1修多)'!I107)</f>
        <v>0</v>
      </c>
      <c r="E31" s="1328"/>
    </row>
    <row r="32" spans="1:5" ht="15.6">
      <c r="A32" s="1328"/>
      <c r="B32" s="3338"/>
      <c r="C32" s="1347" t="s">
        <v>1106</v>
      </c>
      <c r="D32" s="1352" t="str">
        <f>IF('数据-取费表'!B3="万元",NUMBERSTRING(INT(D31*10000),2)&amp;"元整",NUMBERSTRING(INT(D31),2)&amp;"元整")</f>
        <v>零元整</v>
      </c>
      <c r="E32" s="1328"/>
    </row>
    <row r="33" spans="1:5" ht="15.6">
      <c r="A33" s="1328"/>
      <c r="B33" s="1336" t="s">
        <v>1089</v>
      </c>
      <c r="C33" s="1336" t="str">
        <f>C31</f>
        <v>总额</v>
      </c>
      <c r="D33" s="1349">
        <f>IF('数据-取费表'!E3="否",结果表!I106,'结果表 (1修多)'!I108)</f>
        <v>0</v>
      </c>
      <c r="E33" s="1328"/>
    </row>
    <row r="34" spans="1:5" ht="15.6">
      <c r="A34" s="1328"/>
      <c r="B34" s="1336" t="s">
        <v>1090</v>
      </c>
      <c r="C34" s="1336" t="str">
        <f>C31</f>
        <v>总额</v>
      </c>
      <c r="D34" s="1349">
        <f>IF('数据-取费表'!E3="否",结果表!I107,'结果表 (1修多)'!I109)</f>
        <v>0</v>
      </c>
      <c r="E34" s="1328"/>
    </row>
    <row r="35" spans="1:5" ht="15.6">
      <c r="A35" s="1328"/>
      <c r="B35" s="1336" t="s">
        <v>1091</v>
      </c>
      <c r="C35" s="1336" t="str">
        <f>C31</f>
        <v>总额</v>
      </c>
      <c r="D35" s="1349">
        <f>IF('数据-取费表'!E3="否",结果表!I108,'结果表 (1修多)'!I110)</f>
        <v>0</v>
      </c>
      <c r="E35" s="1328"/>
    </row>
    <row r="36" spans="1:5" ht="15.6">
      <c r="A36" s="1328"/>
      <c r="B36" s="3327" t="str">
        <f>B15</f>
        <v>3.房地产抵押价值</v>
      </c>
      <c r="C36" s="1350" t="str">
        <f>C28</f>
        <v>总价</v>
      </c>
      <c r="D36" s="1351">
        <f ca="1">IF('数据-取费表'!E3="否",结果表!I110,'结果表 (1修多)'!I112)</f>
        <v>1138</v>
      </c>
      <c r="E36" s="1328"/>
    </row>
    <row r="37" spans="1:5" ht="15.6">
      <c r="A37" s="1328"/>
      <c r="B37" s="3327"/>
      <c r="C37" s="1347" t="s">
        <v>1106</v>
      </c>
      <c r="D37" s="1352" t="str">
        <f ca="1">IF('数据-取费表'!B3="万元",NUMBERSTRING(INT(D36*10000),2)&amp;"元整",NUMBERSTRING(INT(D36),2)&amp;"元整")</f>
        <v>壹仟壹佰叁拾捌万元整</v>
      </c>
      <c r="E37" s="1328"/>
    </row>
    <row r="38" spans="1:5" ht="15.6">
      <c r="A38" s="1328"/>
      <c r="B38" s="3327"/>
      <c r="C38" s="1338" t="s">
        <v>1110</v>
      </c>
      <c r="D38" s="1349">
        <f ca="1">IF('数据-取费表'!E3="否",结果表!D113,'结果表 (1修多)'!D117)</f>
        <v>28925</v>
      </c>
      <c r="E38" s="1328"/>
    </row>
    <row r="39" spans="1:5" ht="15.6">
      <c r="A39" s="1328"/>
      <c r="B39" s="3328" t="str">
        <f>B18</f>
        <v>——</v>
      </c>
      <c r="C39" s="1350" t="str">
        <f>C28</f>
        <v>总价</v>
      </c>
      <c r="D39" s="1351" t="str">
        <f>IF('数据-取费表'!E3="否",结果表!I112,'结果表 (1修多)'!I114)</f>
        <v>——</v>
      </c>
      <c r="E39" s="1328"/>
    </row>
    <row r="40" spans="1:5" ht="15.6">
      <c r="A40" s="1328"/>
      <c r="B40" s="3328"/>
      <c r="C40" s="1347" t="s">
        <v>1106</v>
      </c>
      <c r="D40" s="1352" t="e">
        <f>IF('数据-取费表'!B3="万元",NUMBERSTRING(INT(D39*10000),2)&amp;"元整",NUMBERSTRING(INT(D39),2)&amp;"元整")</f>
        <v>#VALUE!</v>
      </c>
      <c r="E40" s="1328"/>
    </row>
    <row r="41" spans="1:5" ht="15.6">
      <c r="A41" s="1328"/>
      <c r="B41" s="3328"/>
      <c r="C41" s="1338" t="s">
        <v>1110</v>
      </c>
      <c r="D41" s="1349" t="str">
        <f>IF('数据-取费表'!E3="否",结果表!D115,'结果表 (1修多)'!D119)</f>
        <v>——</v>
      </c>
      <c r="E41" s="1328"/>
    </row>
    <row r="42" spans="1:5" ht="15.6">
      <c r="A42" s="1328"/>
      <c r="B42" s="3327" t="str">
        <f>B21</f>
        <v>——</v>
      </c>
      <c r="C42" s="1350" t="str">
        <f>C28</f>
        <v>总价</v>
      </c>
      <c r="D42" s="1351" t="str">
        <f>IF('数据-取费表'!E3="否",结果表!I114,'结果表 (1修多)'!I116)</f>
        <v>——</v>
      </c>
      <c r="E42" s="1328"/>
    </row>
    <row r="43" spans="1:5" ht="15.6">
      <c r="A43" s="1328"/>
      <c r="B43" s="3329"/>
      <c r="C43" s="1347" t="s">
        <v>1106</v>
      </c>
      <c r="D43" s="1353" t="e">
        <f>IF('数据-取费表'!B3="万元",NUMBERSTRING(INT(D42*10000),2)&amp;"元整",NUMBERSTRING(INT(D42),2)&amp;"元整")</f>
        <v>#VALUE!</v>
      </c>
      <c r="E43" s="1328"/>
    </row>
    <row r="44" spans="1:5" ht="16.2" thickBot="1">
      <c r="A44" s="1328"/>
      <c r="B44" s="3330"/>
      <c r="C44" s="1343" t="s">
        <v>1110</v>
      </c>
      <c r="D44" s="1354" t="str">
        <f ca="1">IF('数据-取费表'!E3="否",结果表!D117,'结果表 (1修多)'!D121)</f>
        <v>——</v>
      </c>
      <c r="E44" s="1328"/>
    </row>
    <row r="45" spans="1:5" ht="15" thickTop="1">
      <c r="A45" s="1328"/>
      <c r="B45" s="1328" t="str">
        <f>IF('数据-取费表'!B3="元","单位：元、元/平方米（单位：人民币）","单位：万元、元/平方米（单位：人民币）")</f>
        <v>单位：万元、元/平方米（单位：人民币）</v>
      </c>
      <c r="C45" s="1328"/>
      <c r="D45" s="1328"/>
      <c r="E45" s="1328"/>
    </row>
    <row r="46" spans="1:5" ht="17.399999999999999">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3" customWidth="1"/>
    <col min="2" max="9" width="12.21875" style="1313" customWidth="1"/>
    <col min="10" max="16384" width="9" style="1313"/>
  </cols>
  <sheetData>
    <row r="1" spans="1:9" ht="16.2"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1205</v>
      </c>
      <c r="B2" s="3354" t="s">
        <v>1206</v>
      </c>
      <c r="C2" s="3354" t="s">
        <v>1207</v>
      </c>
      <c r="D2" s="3354" t="str">
        <f>IF('数据-取费表'!E3="否",结果表!D119,'结果表 (1修多)'!D123)</f>
        <v>出让国有建设用地使用权价值</v>
      </c>
      <c r="E2" s="3354"/>
      <c r="F2" s="3354" t="s">
        <v>1208</v>
      </c>
      <c r="G2" s="3354"/>
      <c r="H2" s="3354" t="s">
        <v>1209</v>
      </c>
      <c r="I2" s="3354"/>
    </row>
    <row r="3" spans="1:9" ht="15.6">
      <c r="A3" s="3347"/>
      <c r="B3" s="3347"/>
      <c r="C3" s="3347"/>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1138</v>
      </c>
      <c r="I4" s="818">
        <f ca="1">IF('数据-取费表'!E3="否",结果表!I121,'结果表 (1修多)'!I125)</f>
        <v>28925</v>
      </c>
    </row>
    <row r="5" spans="1:9" ht="15">
      <c r="A5" s="3347" t="s">
        <v>1213</v>
      </c>
      <c r="B5" s="3347"/>
      <c r="C5" s="3347"/>
      <c r="D5" s="3348" t="str">
        <f>IF('数据-取费表'!E3="否",结果表!D122,'结果表 (1修多)'!D126)</f>
        <v>零元整</v>
      </c>
      <c r="E5" s="3348"/>
      <c r="F5" s="3348" t="str">
        <f>IF('数据-取费表'!E3="否",结果表!F122,'结果表 (1修多)'!F126)</f>
        <v>零元整</v>
      </c>
      <c r="G5" s="3348"/>
      <c r="H5" s="3348" t="str">
        <f ca="1">IF('数据-取费表'!E3="否",结果表!H122,'结果表 (1修多)'!H126)</f>
        <v>壹仟壹佰叁拾捌万元整</v>
      </c>
      <c r="I5" s="3348"/>
    </row>
    <row r="6" spans="1:9" ht="15.6">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1213</v>
      </c>
      <c r="B7" s="3347"/>
      <c r="C7" s="3347"/>
      <c r="D7" s="3355">
        <f>IF('数据-取费表'!E3="否",结果表!D124,'结果表 (1修多)'!D128)</f>
        <v>0</v>
      </c>
      <c r="E7" s="3356"/>
      <c r="F7" s="3356"/>
      <c r="G7" s="3356"/>
      <c r="H7" s="3356"/>
      <c r="I7" s="3357"/>
    </row>
    <row r="8" spans="1:9" ht="15.6">
      <c r="A8" s="3349" t="str">
        <f>IF('数据-取费表'!E3="否",结果表!A125,'结果表 (1修多)'!A129)</f>
        <v>房地产抵押价值</v>
      </c>
      <c r="B8" s="3349"/>
      <c r="C8" s="3349"/>
      <c r="D8" s="3349">
        <f ca="1">IF('数据-取费表'!E3="否",结果表!D125,'结果表 (1修多)'!D129)</f>
        <v>1138</v>
      </c>
      <c r="E8" s="3349"/>
      <c r="F8" s="3349"/>
      <c r="G8" s="3349"/>
      <c r="H8" s="3349"/>
      <c r="I8" s="3349"/>
    </row>
    <row r="9" spans="1:9" ht="15">
      <c r="A9" s="3347" t="s">
        <v>1213</v>
      </c>
      <c r="B9" s="3347"/>
      <c r="C9" s="3347"/>
      <c r="D9" s="3348">
        <f ca="1">IF('数据-取费表'!E3="否",结果表!D126,'结果表 (1修多)'!D130)</f>
        <v>28925</v>
      </c>
      <c r="E9" s="3348"/>
      <c r="F9" s="3348"/>
      <c r="G9" s="3348"/>
      <c r="H9" s="3348"/>
      <c r="I9" s="3348"/>
    </row>
    <row r="10" spans="1:9" ht="15.6">
      <c r="A10" s="3349" t="str">
        <f>IF('数据-取费表'!E3="否",结果表!A127,'结果表 (1修多)'!A131)</f>
        <v/>
      </c>
      <c r="B10" s="3349"/>
      <c r="C10" s="3349"/>
      <c r="D10" s="3349">
        <f ca="1">IF('数据-取费表'!E3="否",结果表!D127,'结果表 (1修多)'!D130)</f>
        <v>28925</v>
      </c>
      <c r="E10" s="3349"/>
      <c r="F10" s="3349"/>
      <c r="G10" s="3349"/>
      <c r="H10" s="3349"/>
      <c r="I10" s="3349"/>
    </row>
    <row r="11" spans="1:9" ht="15">
      <c r="A11" s="3347" t="s">
        <v>1213</v>
      </c>
      <c r="B11" s="3347"/>
      <c r="C11" s="3347"/>
      <c r="D11" s="3348" t="str">
        <f>IF('数据-取费表'!E3="否",结果表!D128,'结果表 (1修多)'!D132)</f>
        <v>——</v>
      </c>
      <c r="E11" s="3348"/>
      <c r="F11" s="3348"/>
      <c r="G11" s="3348"/>
      <c r="H11" s="3348"/>
      <c r="I11" s="3348"/>
    </row>
    <row r="12" spans="1:9" ht="15.6">
      <c r="A12" s="3349" t="str">
        <f>IF('数据-取费表'!E3="否",结果表!A129,'结果表 (1修多)'!A133)</f>
        <v/>
      </c>
      <c r="B12" s="3349"/>
      <c r="C12" s="3349"/>
      <c r="D12" s="3349" t="str">
        <f>IF('数据-取费表'!E3="否",结果表!D129,'结果表 (1修多)'!D133)</f>
        <v>——</v>
      </c>
      <c r="E12" s="3349"/>
      <c r="F12" s="3349"/>
      <c r="G12" s="3349"/>
      <c r="H12" s="3349"/>
      <c r="I12" s="3349"/>
    </row>
    <row r="13" spans="1:9" ht="15.6" thickBot="1">
      <c r="A13" s="3350" t="s">
        <v>1213</v>
      </c>
      <c r="B13" s="3350"/>
      <c r="C13" s="3350"/>
      <c r="D13" s="3351">
        <f>IF('数据-取费表'!E3="否",结果表!D130,'结果表 (1修多)'!D134)</f>
        <v>0</v>
      </c>
      <c r="E13" s="3351"/>
      <c r="F13" s="3351"/>
      <c r="G13" s="3351"/>
      <c r="H13" s="3351"/>
      <c r="I13" s="3351"/>
    </row>
    <row r="14" spans="1:9" ht="14.4"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7.399999999999999">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3" customWidth="1"/>
    <col min="2" max="2" width="24" style="1313" customWidth="1"/>
    <col min="3" max="3" width="23.21875" style="1313" customWidth="1"/>
    <col min="4" max="4" width="21" style="1313" customWidth="1"/>
    <col min="5" max="16384" width="9" style="1313"/>
  </cols>
  <sheetData>
    <row r="1" spans="1:4" ht="17.399999999999999">
      <c r="A1" s="3359" t="s">
        <v>1226</v>
      </c>
      <c r="B1" s="3359"/>
      <c r="C1" s="3359"/>
      <c r="D1" s="3359"/>
    </row>
    <row r="2" spans="1:4" ht="17.399999999999999">
      <c r="A2" s="3358" t="s">
        <v>1215</v>
      </c>
      <c r="B2" s="3358"/>
      <c r="C2" s="3358"/>
      <c r="D2" s="3358"/>
    </row>
    <row r="3" spans="1:4" ht="17.399999999999999">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7.399999999999999">
      <c r="A7" s="3358" t="s">
        <v>1220</v>
      </c>
      <c r="B7" s="3358"/>
      <c r="C7" s="3358"/>
      <c r="D7" s="3358"/>
    </row>
    <row r="8" spans="1:4" ht="17.399999999999999">
      <c r="A8" s="1357" t="s">
        <v>1216</v>
      </c>
      <c r="B8" s="1359" t="s">
        <v>1221</v>
      </c>
      <c r="C8" s="1357" t="s">
        <v>1218</v>
      </c>
      <c r="D8" s="1357" t="s">
        <v>1219</v>
      </c>
    </row>
    <row r="9" spans="1:4" ht="56.25" customHeight="1">
      <c r="A9" s="1364" t="s">
        <v>777</v>
      </c>
      <c r="B9" s="1364" t="s">
        <v>778</v>
      </c>
      <c r="C9" s="1360"/>
      <c r="D9" s="1361" t="s">
        <v>1227</v>
      </c>
    </row>
    <row r="11" spans="1:4" ht="17.399999999999999">
      <c r="A11" s="1365" t="s">
        <v>1222</v>
      </c>
    </row>
    <row r="12" spans="1:4" ht="30" customHeight="1">
      <c r="A12" s="3360" t="s">
        <v>2680</v>
      </c>
      <c r="B12" s="3361"/>
      <c r="C12" s="3361"/>
      <c r="D12" s="3361"/>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60" t="str">
        <f>IF(项目基本情况!D4="抵押","4.本次评估估价师所知悉的法定优先受偿款情况说明如下：","——")</f>
        <v>4.本次评估估价师所知悉的法定优先受偿款情况说明如下：</v>
      </c>
      <c r="B15" s="3361"/>
      <c r="C15" s="3361"/>
      <c r="D15" s="3361"/>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2" t="s">
        <v>1228</v>
      </c>
      <c r="B17" s="3362"/>
      <c r="C17" s="3362"/>
      <c r="D17" s="3362"/>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2681</v>
      </c>
      <c r="B20" s="3362"/>
      <c r="C20" s="3362"/>
      <c r="D20" s="3362"/>
    </row>
    <row r="21" spans="1:4">
      <c r="A21" s="1366"/>
      <c r="B21" s="980"/>
      <c r="C21" s="980"/>
      <c r="D21" s="980"/>
    </row>
    <row r="22" spans="1:4">
      <c r="A22" s="1366"/>
      <c r="B22" s="980"/>
      <c r="C22" s="980"/>
      <c r="D22" s="980"/>
    </row>
    <row r="23" spans="1:4" ht="17.399999999999999">
      <c r="A23" s="1327" t="s">
        <v>1223</v>
      </c>
    </row>
    <row r="24" spans="1:4" ht="17.399999999999999">
      <c r="A24" s="1327"/>
    </row>
    <row r="25" spans="1:4" ht="17.399999999999999">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5" customWidth="1"/>
    <col min="2" max="16384" width="14.44140625" style="605"/>
  </cols>
  <sheetData>
    <row r="1" spans="1:7" s="1356" customFormat="1" ht="17.399999999999999">
      <c r="A1" s="603" t="s">
        <v>1295</v>
      </c>
    </row>
    <row r="3" spans="1:7">
      <c r="A3" s="1373" t="s">
        <v>1296</v>
      </c>
      <c r="B3" s="605" t="s">
        <v>1297</v>
      </c>
      <c r="G3" s="1374"/>
    </row>
    <row r="4" spans="1:7">
      <c r="G4" s="1374"/>
    </row>
    <row r="5" spans="1:7">
      <c r="A5" s="1376" t="s">
        <v>1298</v>
      </c>
      <c r="B5" s="605" t="s">
        <v>1299</v>
      </c>
      <c r="G5" s="1374"/>
    </row>
    <row r="6" spans="1:7">
      <c r="G6" s="1374"/>
    </row>
    <row r="7" spans="1:7">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4">
      <c r="A15" s="3368" t="s">
        <v>1307</v>
      </c>
      <c r="B15" s="3363" t="s">
        <v>1308</v>
      </c>
      <c r="C15" s="3364"/>
    </row>
    <row r="16" spans="1:7" ht="14.4">
      <c r="A16" s="3369"/>
      <c r="B16" s="3363" t="s">
        <v>1309</v>
      </c>
      <c r="C16" s="3364"/>
    </row>
    <row r="17" spans="1:3" ht="14.4">
      <c r="A17" s="3369"/>
      <c r="B17" s="3363" t="s">
        <v>1310</v>
      </c>
      <c r="C17" s="3364"/>
    </row>
    <row r="18" spans="1:3" ht="14.4">
      <c r="A18" s="3370"/>
      <c r="B18" s="3365" t="s">
        <v>1311</v>
      </c>
      <c r="C18" s="3364"/>
    </row>
    <row r="19" spans="1:3" ht="14.4">
      <c r="A19" s="1381" t="s">
        <v>1312</v>
      </c>
      <c r="B19" s="1382"/>
      <c r="C19" s="1383"/>
    </row>
    <row r="20" spans="1:3" ht="14.4">
      <c r="A20" s="3366" t="s">
        <v>1313</v>
      </c>
      <c r="B20" s="3365" t="s">
        <v>1314</v>
      </c>
      <c r="C20" s="3364"/>
    </row>
    <row r="21" spans="1:3" ht="14.4">
      <c r="A21" s="3366"/>
      <c r="B21" s="3365" t="s">
        <v>1315</v>
      </c>
      <c r="C21" s="3364"/>
    </row>
    <row r="22" spans="1:3" ht="14.4">
      <c r="A22" s="3366"/>
      <c r="B22" s="3365" t="s">
        <v>1316</v>
      </c>
      <c r="C22" s="3364"/>
    </row>
    <row r="23" spans="1:3" ht="14.4">
      <c r="A23" s="3366"/>
      <c r="B23" s="3367" t="s">
        <v>1317</v>
      </c>
      <c r="C23" s="1384" t="s">
        <v>1318</v>
      </c>
    </row>
    <row r="24" spans="1:3" ht="14.4">
      <c r="A24" s="3366"/>
      <c r="B24" s="3367"/>
      <c r="C24" s="1384" t="s">
        <v>1319</v>
      </c>
    </row>
    <row r="25" spans="1:3" ht="14.4">
      <c r="A25" s="3366"/>
      <c r="B25" s="3367"/>
      <c r="C25" s="1384" t="s">
        <v>1320</v>
      </c>
    </row>
    <row r="26" spans="1:3" ht="14.4">
      <c r="A26" s="3366"/>
      <c r="B26" s="3367"/>
      <c r="C26" s="1384" t="s">
        <v>1321</v>
      </c>
    </row>
    <row r="27" spans="1:3" ht="14.4">
      <c r="A27" s="3366"/>
      <c r="B27" s="3367"/>
      <c r="C27" s="1384" t="s">
        <v>1322</v>
      </c>
    </row>
    <row r="28" spans="1:3" ht="14.4">
      <c r="A28" s="3366"/>
      <c r="B28" s="3367"/>
      <c r="C28" s="1384" t="s">
        <v>1323</v>
      </c>
    </row>
    <row r="29" spans="1:3" ht="14.4">
      <c r="A29" s="3366"/>
      <c r="B29" s="3367"/>
      <c r="C29" s="1384" t="s">
        <v>1324</v>
      </c>
    </row>
    <row r="30" spans="1:3" ht="14.4">
      <c r="A30" s="3366"/>
      <c r="B30" s="3367"/>
      <c r="C30" s="1384" t="s">
        <v>1325</v>
      </c>
    </row>
    <row r="31" spans="1:3" ht="14.4">
      <c r="A31" s="3366"/>
      <c r="B31" s="336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7" customWidth="1"/>
    <col min="2" max="2" width="38.6640625" style="3027" customWidth="1"/>
    <col min="3" max="3" width="26" style="3027" customWidth="1"/>
    <col min="4" max="4" width="35" style="3027" hidden="1" customWidth="1"/>
    <col min="5" max="5" width="30.109375" style="3027" customWidth="1"/>
    <col min="6" max="6" width="35.44140625" style="3027" customWidth="1"/>
    <col min="7" max="7" width="31" style="3027" customWidth="1"/>
    <col min="8" max="8" width="37.44140625" style="3027" hidden="1" customWidth="1"/>
    <col min="9" max="16384" width="22.6640625" style="3027"/>
  </cols>
  <sheetData>
    <row r="1" spans="1:8" ht="24" customHeight="1">
      <c r="A1" s="3030"/>
      <c r="B1" s="3030"/>
      <c r="C1" s="3030"/>
      <c r="D1" s="3030"/>
      <c r="E1" s="3030"/>
      <c r="F1" s="3030"/>
      <c r="G1" s="3030"/>
      <c r="H1" s="3030"/>
    </row>
    <row r="2" spans="1:8" ht="24" customHeight="1">
      <c r="A2" s="3031" t="s">
        <v>746</v>
      </c>
      <c r="B2" s="3032">
        <f ca="1">TODAY()</f>
        <v>44561</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2656</v>
      </c>
      <c r="B12" s="1271">
        <f ca="1">IF(C12&lt;B2,"已过期",1120040230)</f>
        <v>1120040230</v>
      </c>
      <c r="C12" s="3040">
        <v>44864</v>
      </c>
      <c r="D12" s="3048" t="str">
        <f t="shared" ca="1" si="0"/>
        <v>苏海（注册号：1120040230）</v>
      </c>
      <c r="E12" s="3050" t="s">
        <v>2656</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2673</v>
      </c>
      <c r="B14" s="1271">
        <f ca="1">IF(C14&lt;B2,"已过期",1119980106)</f>
        <v>1119980106</v>
      </c>
      <c r="C14" s="3040">
        <v>44969</v>
      </c>
      <c r="D14" s="3048" t="str">
        <f t="shared" ca="1" si="0"/>
        <v>刘俊财（注册号：1119980106）</v>
      </c>
      <c r="E14" s="3050" t="s">
        <v>2773</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2777</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6"/>
      <c r="E18" s="3373" t="s">
        <v>764</v>
      </c>
      <c r="F18" s="3372"/>
      <c r="G18" s="3372"/>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ht="14.4">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ht="14.4">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ht="14.4">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ht="14.4">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ht="14.4">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ht="14.4">
      <c r="A7" s="1389" t="s">
        <v>1407</v>
      </c>
      <c r="B7" s="1391" t="s">
        <v>1408</v>
      </c>
      <c r="C7" s="1390" t="s">
        <v>1409</v>
      </c>
      <c r="F7" s="7" t="s">
        <v>1410</v>
      </c>
      <c r="H7" s="7" t="s">
        <v>1411</v>
      </c>
      <c r="I7" s="7" t="s">
        <v>1412</v>
      </c>
      <c r="X7" s="1392"/>
    </row>
    <row r="8" spans="1:25" ht="14.4">
      <c r="A8" s="1389" t="s">
        <v>1413</v>
      </c>
      <c r="B8" s="1391" t="s">
        <v>1414</v>
      </c>
      <c r="C8" s="1390" t="s">
        <v>1415</v>
      </c>
      <c r="F8" s="7" t="s">
        <v>1416</v>
      </c>
      <c r="H8" s="7" t="s">
        <v>1417</v>
      </c>
      <c r="I8" s="7" t="s">
        <v>1418</v>
      </c>
      <c r="X8" s="1392"/>
    </row>
    <row r="9" spans="1:25" ht="14.4">
      <c r="A9" s="1389" t="s">
        <v>1419</v>
      </c>
      <c r="B9" s="1389" t="s">
        <v>1420</v>
      </c>
      <c r="C9" s="1390" t="s">
        <v>1421</v>
      </c>
      <c r="F9" s="7" t="s">
        <v>1422</v>
      </c>
      <c r="H9" s="7" t="s">
        <v>1423</v>
      </c>
    </row>
    <row r="10" spans="1:25" ht="14.4">
      <c r="A10" s="1389" t="s">
        <v>1424</v>
      </c>
      <c r="B10" s="1389" t="s">
        <v>1425</v>
      </c>
      <c r="C10" s="1390" t="s">
        <v>1426</v>
      </c>
      <c r="F10" s="7" t="s">
        <v>13</v>
      </c>
    </row>
    <row r="11" spans="1:25" ht="14.4">
      <c r="A11" s="1389" t="s">
        <v>1427</v>
      </c>
      <c r="B11" s="1389" t="s">
        <v>1428</v>
      </c>
      <c r="C11" s="1390" t="s">
        <v>1429</v>
      </c>
    </row>
    <row r="12" spans="1:25" ht="14.4">
      <c r="A12" s="1389" t="s">
        <v>1430</v>
      </c>
      <c r="B12" s="1389" t="s">
        <v>1431</v>
      </c>
      <c r="C12" s="1390" t="s">
        <v>1432</v>
      </c>
    </row>
    <row r="13" spans="1:25" ht="14.4">
      <c r="A13" s="1389" t="s">
        <v>1433</v>
      </c>
      <c r="B13" s="1389" t="s">
        <v>1434</v>
      </c>
      <c r="C13" s="1390" t="s">
        <v>1435</v>
      </c>
    </row>
    <row r="14" spans="1:25" ht="14.4">
      <c r="A14" s="1389" t="s">
        <v>1436</v>
      </c>
      <c r="B14" s="1389" t="s">
        <v>1437</v>
      </c>
      <c r="C14" s="1390"/>
    </row>
    <row r="15" spans="1:25" ht="14.4">
      <c r="A15" s="1389" t="s">
        <v>1438</v>
      </c>
      <c r="B15" s="1389" t="s">
        <v>1439</v>
      </c>
      <c r="C15" s="1390"/>
    </row>
    <row r="16" spans="1:25" ht="14.4">
      <c r="A16" s="1389" t="s">
        <v>1440</v>
      </c>
      <c r="B16" s="1389" t="s">
        <v>1441</v>
      </c>
      <c r="C16" s="1390"/>
    </row>
    <row r="17" spans="1:3" ht="14.4">
      <c r="A17" s="1389" t="s">
        <v>1442</v>
      </c>
      <c r="B17" s="1389" t="s">
        <v>1443</v>
      </c>
      <c r="C17" s="1390"/>
    </row>
    <row r="18" spans="1:3" ht="14.4">
      <c r="A18" s="1389" t="s">
        <v>1444</v>
      </c>
      <c r="B18" s="1389" t="s">
        <v>1445</v>
      </c>
      <c r="C18" s="1390"/>
    </row>
    <row r="19" spans="1:3" ht="14.4">
      <c r="A19" s="1389" t="s">
        <v>1446</v>
      </c>
      <c r="B19" s="1389" t="s">
        <v>1447</v>
      </c>
      <c r="C19" s="1390"/>
    </row>
    <row r="20" spans="1:3" ht="14.4">
      <c r="A20" s="1389" t="s">
        <v>1448</v>
      </c>
      <c r="B20" s="1389" t="s">
        <v>2975</v>
      </c>
      <c r="C20" s="1390"/>
    </row>
    <row r="21" spans="1:3" ht="14.4">
      <c r="A21" s="1389" t="s">
        <v>1449</v>
      </c>
      <c r="B21" s="1389" t="s">
        <v>740</v>
      </c>
      <c r="C21" s="1390"/>
    </row>
    <row r="22" spans="1:3" ht="14.4">
      <c r="A22" s="1389" t="s">
        <v>1450</v>
      </c>
      <c r="B22" s="1389" t="s">
        <v>740</v>
      </c>
      <c r="C22" s="1390"/>
    </row>
    <row r="23" spans="1:3" ht="14.4">
      <c r="A23" s="1389" t="s">
        <v>1451</v>
      </c>
      <c r="B23" s="1389" t="s">
        <v>740</v>
      </c>
      <c r="C23" s="1390"/>
    </row>
    <row r="24" spans="1:3" ht="14.4">
      <c r="A24" s="1389" t="s">
        <v>1452</v>
      </c>
      <c r="B24" s="1389" t="s">
        <v>740</v>
      </c>
      <c r="C24" s="1390"/>
    </row>
    <row r="25" spans="1:3" ht="14.4">
      <c r="A25" s="1389" t="s">
        <v>1453</v>
      </c>
      <c r="B25" s="1389" t="s">
        <v>740</v>
      </c>
      <c r="C25" s="1390"/>
    </row>
    <row r="26" spans="1:3" ht="14.4">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ht="14.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ht="14.4">
      <c r="A52" s="1393" t="s">
        <v>1457</v>
      </c>
      <c r="B52" s="1393" t="s">
        <v>1458</v>
      </c>
      <c r="C52" s="9" t="s">
        <v>1459</v>
      </c>
      <c r="D52" s="9" t="s">
        <v>1460</v>
      </c>
    </row>
    <row r="53" spans="1:4" ht="14.25" customHeight="1">
      <c r="A53" s="337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ht="14.4">
      <c r="A54" s="3374"/>
      <c r="B54" s="9" t="s">
        <v>1463</v>
      </c>
      <c r="C54" s="9" t="s">
        <v>1464</v>
      </c>
    </row>
    <row r="55" spans="1:4" ht="14.4">
      <c r="A55" s="3374"/>
      <c r="B55" s="9" t="s">
        <v>1465</v>
      </c>
      <c r="C55" s="9" t="s">
        <v>1466</v>
      </c>
    </row>
    <row r="56" spans="1:4" ht="14.4">
      <c r="A56" s="3374"/>
      <c r="B56" s="9" t="s">
        <v>1467</v>
      </c>
      <c r="C56" s="9" t="s">
        <v>1468</v>
      </c>
    </row>
    <row r="57" spans="1:4" ht="14.4">
      <c r="A57" s="337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2021-12-31T06:11:09Z</dcterms:modified>
</cp:coreProperties>
</file>