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0" yWindow="30" windowWidth="11670" windowHeight="1071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Sheet1" sheetId="72"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'[3]不动产比较法-办公'!$B$119:$M$119</definedName>
    <definedName name="办公层高">'不动产比较法-办公'!$B$119:$M$119</definedName>
    <definedName name="办公朝向" localSheetId="32">'[3]不动产比较法-办公'!$B$91:$M$91</definedName>
    <definedName name="办公朝向">'不动产比较法-办公'!$B$91:$M$91</definedName>
    <definedName name="办公道路级别" localSheetId="32">'[3]不动产比较法-办公'!$B$87:$M$87</definedName>
    <definedName name="办公道路级别">'不动产比较法-办公'!$B$87:$M$87</definedName>
    <definedName name="办公公共部分装修" localSheetId="32">'[3]不动产比较法-办公'!$B$108:$M$108</definedName>
    <definedName name="办公公共部分装修">'不动产比较法-办公'!$B$108:$M$108</definedName>
    <definedName name="办公基础设施水平" localSheetId="32">'[3]不动产比较法-办公'!$B$117:$M$117</definedName>
    <definedName name="办公基础设施水平">'不动产比较法-办公'!$B$117:$M$117</definedName>
    <definedName name="办公集聚程度" localSheetId="32">[3]定义!$M$1:$M$6</definedName>
    <definedName name="办公集聚程度">定义!$M$1:$M$6</definedName>
    <definedName name="办公建筑结构" localSheetId="32">'[3]不动产比较法-办公'!$B$106:$M$106</definedName>
    <definedName name="办公建筑结构">'不动产比较法-办公'!$B$106:$M$106</definedName>
    <definedName name="办公建筑类型" localSheetId="32">'[3]不动产比较法-办公'!$B$101:$M$101</definedName>
    <definedName name="办公建筑类型">'不动产比较法-办公'!$B$101:$M$101</definedName>
    <definedName name="办公交易情况" localSheetId="32">'[3]不动产比较法-办公'!$A$62:$M$62</definedName>
    <definedName name="办公交易情况">'不动产比较法-办公'!$A$62:$M$62</definedName>
    <definedName name="办公楼层" localSheetId="32">'[3]不动产比较法-办公'!$B$89:$M$89</definedName>
    <definedName name="办公楼层">'不动产比较法-办公'!$B$89:$M$89</definedName>
    <definedName name="办公内部装修" localSheetId="32">'[3]不动产比较法-办公'!$B$123:$M$123</definedName>
    <definedName name="办公内部装修">'不动产比较法-办公'!$B$123:$M$123</definedName>
    <definedName name="办公物业管理" localSheetId="32">'[3]不动产比较法-办公'!$B$115:$M$115</definedName>
    <definedName name="办公物业管理">'不动产比较法-办公'!$B$115:$M$115</definedName>
    <definedName name="办公用途" localSheetId="32">'[3]不动产比较法-办公'!$B$64:$M$64</definedName>
    <definedName name="办公用途">'不动产比较法-办公'!$B$64:$M$64</definedName>
    <definedName name="仓储公共部分装修" localSheetId="32">'[3]不动产比较法-仓储'!$B$77:$M$77</definedName>
    <definedName name="仓储公共部分装修">'不动产比较法-仓储'!$B$77:$M$77</definedName>
    <definedName name="仓储交易情况" localSheetId="32">'[3]不动产比较法-仓储'!$A$49:$M$49</definedName>
    <definedName name="仓储交易情况">'不动产比较法-仓储'!$A$49:$M$49</definedName>
    <definedName name="仓储楼层" localSheetId="32">'[3]不动产比较法-仓储'!$B$69:$M$69</definedName>
    <definedName name="仓储楼层">'不动产比较法-仓储'!$B$69:$M$69</definedName>
    <definedName name="仓储物业等级" localSheetId="32">'[3]不动产比较法-仓储'!$B$82:$M$82</definedName>
    <definedName name="仓储物业等级">'不动产比较法-仓储'!$B$82:$M$82</definedName>
    <definedName name="仓储用途" localSheetId="32">'[3]不动产比较法-仓储'!$B$51:$M$51</definedName>
    <definedName name="仓储用途">'不动产比较法-仓储'!$B$51:$M$51</definedName>
    <definedName name="产业集聚程度" localSheetId="32">[3]定义!$N$1:$N$6</definedName>
    <definedName name="产业集聚程度">定义!$N$1:$N$6</definedName>
    <definedName name="车位公共部分装修" localSheetId="32">'[3]不动产比较法-车位'!$B$83:$M$83</definedName>
    <definedName name="车位公共部分装修">'不动产比较法-车位'!$B$83:$M$83</definedName>
    <definedName name="车位交易情况" localSheetId="32">'[3]不动产比较法-车位'!$A$51:$M$51</definedName>
    <definedName name="车位交易情况">'不动产比较法-车位'!$A$51:$M$51</definedName>
    <definedName name="车位类型" localSheetId="32">'[3]不动产比较法-车位'!$B$93:$M$93</definedName>
    <definedName name="车位类型">'不动产比较法-车位'!$B$93:$M$93</definedName>
    <definedName name="车位楼层" localSheetId="32">'[3]不动产比较法-车位'!$B$71:$M$71</definedName>
    <definedName name="车位楼层">'不动产比较法-车位'!$B$71:$M$71</definedName>
    <definedName name="车位配套类型" localSheetId="32">'[3]不动产比较法-车位'!$B$79:$M$79</definedName>
    <definedName name="车位配套类型">'不动产比较法-车位'!$B$79:$M$79</definedName>
    <definedName name="车位物业等级" localSheetId="32">'[3]不动产比较法-车位'!$B$88:$M$88</definedName>
    <definedName name="车位物业等级">'不动产比较法-车位'!$B$88:$M$88</definedName>
    <definedName name="车位用途" localSheetId="32">'[3]不动产比较法-车位'!$B$53:$M$53</definedName>
    <definedName name="车位用途">'不动产比较法-车位'!$B$53:$M$53</definedName>
    <definedName name="城镇土地纳税等级分级范围" localSheetId="32">'[3]数据-取费表'!$A$53:$A$63</definedName>
    <definedName name="城镇土地纳税等级分级范围">'数据-取费表'!$A$53:$A$63</definedName>
    <definedName name="单价内涵" localSheetId="32">[3]定义!$V$1:$V$3</definedName>
    <definedName name="单价内涵">定义!$V$1:$V$3</definedName>
    <definedName name="地类判定" localSheetId="32">[3]定义!$H$1:$H$9</definedName>
    <definedName name="地类判定">定义!$H$1:$H$9</definedName>
    <definedName name="二级">区片价!$K$1:$K$21</definedName>
    <definedName name="二级分类" localSheetId="32">[3]修正!$C$17:$C$39</definedName>
    <definedName name="二级分类">修正!$C$19:$C$51</definedName>
    <definedName name="法定最高年限" localSheetId="32">[3]定义!$G$2:$G$4</definedName>
    <definedName name="法定最高年限">定义!$G$2:$G$5</definedName>
    <definedName name="工业公共部分装修" localSheetId="32">'[3]不动产比较法-工业'!$B$95:$M$95</definedName>
    <definedName name="工业公共部分装修">'不动产比较法-工业'!$B$95:$M$95</definedName>
    <definedName name="工业基础设施水平" localSheetId="32">'[3]不动产比较法-工业'!$B$102:$M$102</definedName>
    <definedName name="工业基础设施水平">'不动产比较法-工业'!$B$102:$M$102</definedName>
    <definedName name="工业建筑结构" localSheetId="32">'[3]不动产比较法-工业'!$B$93:$M$93</definedName>
    <definedName name="工业建筑结构">'不动产比较法-工业'!$B$93:$M$93</definedName>
    <definedName name="工业建筑类型" localSheetId="32">'[3]不动产比较法-工业'!$B$88:$M$88</definedName>
    <definedName name="工业建筑类型">'不动产比较法-工业'!$B$88:$M$88</definedName>
    <definedName name="工业交易情况" localSheetId="32">'[3]不动产比较法-工业'!$A$55:$M$55</definedName>
    <definedName name="工业交易情况">'不动产比较法-工业'!$A$55:$M$55</definedName>
    <definedName name="工业内部装修" localSheetId="32">'[3]不动产比较法-工业'!$B$104:$M$104</definedName>
    <definedName name="工业内部装修">'不动产比较法-工业'!$B$104:$M$104</definedName>
    <definedName name="工业物业管理" localSheetId="32">'[3]不动产比较法-工业'!$B$100:$M$100</definedName>
    <definedName name="工业物业管理">'不动产比较法-工业'!$B$100:$M$100</definedName>
    <definedName name="工业用途" localSheetId="32">'[3]不动产比较法-工业'!$B$57:$M$57</definedName>
    <definedName name="工业用途">'不动产比较法-工业'!$B$57:$M$57</definedName>
    <definedName name="公共配套设施" localSheetId="32">[3]定义!$Q$1:$Q$6</definedName>
    <definedName name="公共配套设施">定义!$Q$1:$Q$6</definedName>
    <definedName name="估价范围判定">定义!$D$1:$D$4</definedName>
    <definedName name="估价方法" localSheetId="32">[3]定义!$B$1:$B$50</definedName>
    <definedName name="估价方法">定义!$B$1:$B$50</definedName>
    <definedName name="环境" localSheetId="32">[3]定义!$S$1:$S$6</definedName>
    <definedName name="环境">定义!$S$1:$S$6</definedName>
    <definedName name="基础设施水平" localSheetId="32">[3]定义!$R$1:$R$6</definedName>
    <definedName name="基础设施水平">定义!$R$1:$R$6</definedName>
    <definedName name="季度">基准地价!$N$19:$AB$19</definedName>
    <definedName name="季度2014">地价!$A$2:$A$41</definedName>
    <definedName name="价值类型2" localSheetId="32">[3]定义!$B$54:$B$56</definedName>
    <definedName name="价值类型2">定义!$B$54:$B$56</definedName>
    <definedName name="交通便捷度" localSheetId="32">[3]定义!$O$1:$O$6</definedName>
    <definedName name="交通便捷度">定义!$O$1:$O$6</definedName>
    <definedName name="九级">区片价!$R$1:$R$51</definedName>
    <definedName name="居住社区成熟度" localSheetId="32">[3]定义!$K$1:$K$6</definedName>
    <definedName name="居住社区成熟度">定义!$K$1:$K$6</definedName>
    <definedName name="类别" localSheetId="32">[3]定义!$J$1:$J$3</definedName>
    <definedName name="类别">定义!$J$1:$J$3</definedName>
    <definedName name="临街状况" localSheetId="32">[3]定义!$T$1:$T$5</definedName>
    <definedName name="临街状况">定义!$T$1:$T$5</definedName>
    <definedName name="六级">区片价!$O$1:$O$64</definedName>
    <definedName name="内部装修维护情况" localSheetId="32">[3]定义!$U$1:$U$6</definedName>
    <definedName name="内部装修维护情况">定义!$U$1:$U$6</definedName>
    <definedName name="判定">[3]定义!$D$1:$D$4</definedName>
    <definedName name="七级">区片价!$P$1:$P$45</definedName>
    <definedName name="七通一平" localSheetId="32">[3]修正!$A$6:$A$14</definedName>
    <definedName name="七通一平">修正!$A$8:$A$16</definedName>
    <definedName name="区域土地利用方向" localSheetId="32">[3]定义!$P$1:$P$6</definedName>
    <definedName name="区域土地利用方向">定义!$P$1:$P$6</definedName>
    <definedName name="三级">区片价!$L$1:$L$26</definedName>
    <definedName name="商业层高" localSheetId="32">'[3]不动产比较法-商业'!$B$116:$M$116</definedName>
    <definedName name="商业层高">'不动产比较法-商业'!$B$116:$M$116</definedName>
    <definedName name="商业成新度">'不动产比较法-商业'!$B$109:$M$109</definedName>
    <definedName name="商业繁华度" localSheetId="32">[3]定义!$L$1:$L$6</definedName>
    <definedName name="商业繁华度">定义!$L$1:$L$6</definedName>
    <definedName name="商业公共部分装修" localSheetId="32">'[3]不动产比较法-商业'!$B$107:$M$107</definedName>
    <definedName name="商业公共部分装修">'不动产比较法-商业'!$B$107:$M$107</definedName>
    <definedName name="商业基础设施水平" localSheetId="32">'[3]不动产比较法-商业'!$B$112:$M$112</definedName>
    <definedName name="商业基础设施水平">'不动产比较法-商业'!$B$112:$M$112</definedName>
    <definedName name="商业建筑结构" localSheetId="32">'[3]不动产比较法-商业'!$B$105:$M$105</definedName>
    <definedName name="商业建筑结构">'不动产比较法-商业'!$B$105:$M$105</definedName>
    <definedName name="商业交易情况" localSheetId="32">'[3]不动产比较法-商业'!$A$61:$M$61</definedName>
    <definedName name="商业交易情况">'不动产比较法-商业'!$A$61:$M$61</definedName>
    <definedName name="商业街名称" localSheetId="32">[3]修正!$C$59:$C$119</definedName>
    <definedName name="商业街名称">修正!$C$71:$C$139</definedName>
    <definedName name="商业进深比" localSheetId="32">'[3]不动产比较法-商业'!$B$120:$M$120</definedName>
    <definedName name="商业进深比">'不动产比较法-商业'!$B$120:$M$120</definedName>
    <definedName name="商业类型" localSheetId="32">'[3]不动产比较法-商业'!$B$100:$M$100</definedName>
    <definedName name="商业类型">'不动产比较法-商业'!$B$100:$M$100</definedName>
    <definedName name="商业临街状况" localSheetId="32">'[3]不动产比较法-商业'!$B$86:$M$86</definedName>
    <definedName name="商业临街状况">'不动产比较法-商业'!$B$86:$M$86</definedName>
    <definedName name="商业楼层" localSheetId="32">'[3]不动产比较法-商业'!$B$92:$M$92</definedName>
    <definedName name="商业楼层">'不动产比较法-商业'!$B$92:$M$92</definedName>
    <definedName name="商业内部装修" localSheetId="32">'[3]不动产比较法-商业'!$B$122:$M$122</definedName>
    <definedName name="商业内部装修">'不动产比较法-商业'!$B$122:$M$122</definedName>
    <definedName name="商业人流量" localSheetId="32">'[3]不动产比较法-商业'!$B$90:$M$90</definedName>
    <definedName name="商业人流量">'不动产比较法-商业'!$B$90:$M$90</definedName>
    <definedName name="商业业态" localSheetId="32">'[3]不动产比较法-商业'!$B$114:$M$114</definedName>
    <definedName name="商业业态">'不动产比较法-商业'!$B$114:$M$114</definedName>
    <definedName name="商业用途" localSheetId="32">'[3]不动产比较法-商业'!$B$63:$M$63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'[3]不动产比较法-仓储'!$B$89:$M$89</definedName>
    <definedName name="是否封闭">'不动产比较法-仓储'!$B$89:$M$89</definedName>
    <definedName name="是否直接入户" localSheetId="32">'[3]不动产比较法-车位'!$B$95:$M$95</definedName>
    <definedName name="是否直接入户">'不动产比较法-车位'!$B$95:$M$95</definedName>
    <definedName name="四级">区片价!$M$1:$M$33</definedName>
    <definedName name="套工工程地质条件" localSheetId="32">'[3]比较法-工业'!$B$116:$M$116</definedName>
    <definedName name="套工工程地质条件">'比较法-工业'!$B$115:$M$115</definedName>
    <definedName name="套工交易情况" localSheetId="32">'[3]比较法-住宅、综合'!$A$75:$M$75</definedName>
    <definedName name="套工交易情况">'比较法-住宅、综合'!$A$74:$M$74</definedName>
    <definedName name="套工开发程度" localSheetId="32">'[3]比较法-工业'!$B$114:$M$114</definedName>
    <definedName name="套工开发程度">'比较法-工业'!$B$113:$M$113</definedName>
    <definedName name="套工临街等级" localSheetId="32">'[3]比较法-工业'!$B$99:$M$99</definedName>
    <definedName name="套工临街等级">'比较法-工业'!$B$98:$M$98</definedName>
    <definedName name="套工土地级别" localSheetId="32">'[3]比较法-工业'!$B$101:$M$101</definedName>
    <definedName name="套工土地级别">'比较法-工业'!$B$100:$M$100</definedName>
    <definedName name="套工用途" localSheetId="32">'[3]比较法-工业'!$B$72:$M$72</definedName>
    <definedName name="套工用途">'比较法-工业'!$B$71:$M$71</definedName>
    <definedName name="套工宗地形状" localSheetId="32">'[3]比较法-工业'!$B$112:$M$112</definedName>
    <definedName name="套工宗地形状">'比较法-工业'!$B$111:$M$111</definedName>
    <definedName name="套综道路等级" localSheetId="32">'[3]比较法-住宅、综合'!$B$108:$M$108</definedName>
    <definedName name="套综道路等级">'比较法-住宅、综合'!$B$107:$M$107</definedName>
    <definedName name="套综工程地质条件" localSheetId="32">'[3]比较法-住宅、综合'!$B$127:$M$127</definedName>
    <definedName name="套综工程地质条件">'比较法-住宅、综合'!$B$126:$M$126</definedName>
    <definedName name="套综交易情况" localSheetId="32">'[3]比较法-住宅、综合'!$A$75:$M$75</definedName>
    <definedName name="套综交易情况">'比较法-住宅、综合'!$A$74:$M$74</definedName>
    <definedName name="套综临街宽度及深度" localSheetId="32">'[3]比较法-住宅、综合'!$B$123:$M$123</definedName>
    <definedName name="套综临街宽度及深度">'比较法-住宅、综合'!$B$122:$M$122</definedName>
    <definedName name="套综土地级别" localSheetId="32">'[3]比较法-住宅、综合'!$B$110:$M$110</definedName>
    <definedName name="套综土地级别">'比较法-住宅、综合'!$B$109:$M$109</definedName>
    <definedName name="套综用途" localSheetId="32">'[3]比较法-住宅、综合'!$B$77:$M$77</definedName>
    <definedName name="套综用途">'比较法-住宅、综合'!$B$76:$M$76</definedName>
    <definedName name="套综宗地内开发程度" localSheetId="32">'[3]比较法-住宅、综合'!$B$125:$M$125</definedName>
    <definedName name="套综宗地内开发程度">'比较法-住宅、综合'!$B$124:$M$124</definedName>
    <definedName name="套综宗地形状" localSheetId="32">'[3]比较法-住宅、综合'!$B$121:$M$121</definedName>
    <definedName name="套综宗地形状">'比较法-住宅、综合'!$B$120:$M$120</definedName>
    <definedName name="土地估价师" localSheetId="32">[3]估价师及机构信息!$D$3:$D$16</definedName>
    <definedName name="土地估价师">估价师及机构信息!$D$3:$D$17</definedName>
    <definedName name="土地级别" localSheetId="32">[3]定义!$C$1:$C$14</definedName>
    <definedName name="土地级别">定义!$C$1:$C$14</definedName>
    <definedName name="土地利用方向">定义!$P$1:$P$6</definedName>
    <definedName name="土地年限区间" localSheetId="32">[3]定义!$I$1:$I$8</definedName>
    <definedName name="土地年限区间">定义!$I$1:$I$16</definedName>
    <definedName name="位置" localSheetId="32">[3]定义!$E$2:$E$4</definedName>
    <definedName name="位置">定义!$E$2:$E$4</definedName>
    <definedName name="五等判定" localSheetId="32">[3]定义!$W$1:$W$6</definedName>
    <definedName name="五等判定">定义!$W$1:$W$6</definedName>
    <definedName name="五级">区片价!$N$1:$N$41</definedName>
    <definedName name="项目类型" localSheetId="32">'[3]数据-汇总表'!$C$17:$C$26</definedName>
    <definedName name="项目类型" localSheetId="33">'[1]数据-汇总表'!$C$17:$C$26</definedName>
    <definedName name="项目类型">'数据-汇总表'!$C$17:$C$26</definedName>
    <definedName name="写字楼等级" localSheetId="32">'[3]不动产比较法-办公'!$B$113:$M$113</definedName>
    <definedName name="写字楼等级">'不动产比较法-办公'!$B$113:$M$113</definedName>
    <definedName name="一级">区片价!$J$1:$J$6</definedName>
    <definedName name="一修多修正项2" localSheetId="32">[3]典型户型修正!$5:$5</definedName>
    <definedName name="一修多修正项2">典型户型修正!$5:$5</definedName>
    <definedName name="一修多修正项3" localSheetId="32">[3]典型户型修正!$7:$7</definedName>
    <definedName name="一修多修正项3">典型户型修正!$7:$7</definedName>
    <definedName name="一修多修正项4" localSheetId="32">[3]典型户型修正!$9:$9</definedName>
    <definedName name="一修多修正项4">典型户型修正!$9:$9</definedName>
    <definedName name="一修多修正项5" localSheetId="32">[3]典型户型修正!$11:$11</definedName>
    <definedName name="一修多修正项5">典型户型修正!$11:$11</definedName>
    <definedName name="一修多修正项6" localSheetId="32">[3]典型户型修正!$13:$13</definedName>
    <definedName name="一修多修正项6">典型户型修正!$13:$13</definedName>
    <definedName name="一修多修正项7" localSheetId="32">[3]典型户型修正!$15:$15</definedName>
    <definedName name="一修多修正项7">典型户型修正!$15:$15</definedName>
    <definedName name="一修多修正项8" localSheetId="32">[3]典型户型修正!$17:$17</definedName>
    <definedName name="一修多修正项8">典型户型修正!$17:$17</definedName>
    <definedName name="用途类型" localSheetId="32">[3]定义!$A$1:$A$50</definedName>
    <definedName name="用途类型">定义!$A$1:$A$50</definedName>
    <definedName name="有无电梯" localSheetId="32">'[3]不动产比较法-仓储'!$B$84:$M$84</definedName>
    <definedName name="有无电梯">'不动产比较法-仓储'!$B$84:$M$84</definedName>
    <definedName name="主用途" localSheetId="32">[3]定义!$F$1:$F$10</definedName>
    <definedName name="主用途">定义!$F$1:$F$12</definedName>
    <definedName name="住宅朝向" localSheetId="32">'[3]不动产比较法-住宅'!$B$88:$M$88</definedName>
    <definedName name="住宅朝向">'不动产比较法-住宅'!$B$88:$M$88</definedName>
    <definedName name="住宅房型" localSheetId="32">'[3]不动产比较法-住宅'!$B$118:$M$118</definedName>
    <definedName name="住宅房型">'不动产比较法-住宅'!$B$118:$M$118</definedName>
    <definedName name="住宅公共部分装修" localSheetId="32">'[3]不动产比较法-住宅'!$B$109:$M$109</definedName>
    <definedName name="住宅公共部分装修">'不动产比较法-住宅'!$B$109:$M$109</definedName>
    <definedName name="住宅基础设施水平" localSheetId="32">'[3]不动产比较法-住宅'!$B$116:$M$116</definedName>
    <definedName name="住宅基础设施水平">'不动产比较法-住宅'!$B$116:$M$116</definedName>
    <definedName name="住宅建筑结构" localSheetId="32">'[3]不动产比较法-住宅'!$B$105:$M$105</definedName>
    <definedName name="住宅建筑结构">'不动产比较法-住宅'!$B$105:$M$105</definedName>
    <definedName name="住宅建筑类型" localSheetId="32">'[3]不动产比较法-住宅'!$B$100:$M$100</definedName>
    <definedName name="住宅建筑类型">'不动产比较法-住宅'!$B$100:$M$100</definedName>
    <definedName name="住宅建筑品质" localSheetId="32">'[3]不动产比较法-住宅'!$B$107:$M$107</definedName>
    <definedName name="住宅建筑品质">'不动产比较法-住宅'!$B$107:$M$107</definedName>
    <definedName name="住宅交易情况" localSheetId="32">'[3]不动产比较法-住宅'!$A$61:$M$61</definedName>
    <definedName name="住宅交易情况">'不动产比较法-住宅'!$A$61:$M$61</definedName>
    <definedName name="住宅楼层" localSheetId="32">'[3]不动产比较法-住宅'!$B$86:$M$86</definedName>
    <definedName name="住宅楼层">'不动产比较法-住宅'!$B$86:$M$86</definedName>
    <definedName name="住宅内部装修" localSheetId="32">'[3]不动产比较法-住宅'!$B$122:$M$122</definedName>
    <definedName name="住宅内部装修">'不动产比较法-住宅'!$B$122:$M$122</definedName>
    <definedName name="住宅物业管理" localSheetId="32">'[3]不动产比较法-住宅'!$B$114:$M$114</definedName>
    <definedName name="住宅物业管理">'不动产比较法-住宅'!$B$114:$M$114</definedName>
    <definedName name="住宅用途" localSheetId="32">'[3]不动产比较法-住宅'!$B$63:$M$63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I48" i="39"/>
  <c r="G48" i="39"/>
  <c r="E48" i="39"/>
  <c r="I40" i="39"/>
  <c r="G40" i="39"/>
  <c r="E40" i="39"/>
  <c r="C40" i="39"/>
  <c r="D119" i="39"/>
  <c r="E119" i="39" s="1"/>
  <c r="F119" i="39" s="1"/>
  <c r="G119" i="39" s="1"/>
  <c r="H119" i="39" s="1"/>
  <c r="E118" i="39"/>
  <c r="F118" i="39" s="1"/>
  <c r="G118" i="39" s="1"/>
  <c r="H118" i="39" s="1"/>
  <c r="D118" i="39"/>
  <c r="C13" i="39"/>
  <c r="O69" i="39"/>
  <c r="P69" i="39" s="1"/>
  <c r="Y72" i="39"/>
  <c r="Z72" i="39"/>
  <c r="AA72" i="39" s="1"/>
  <c r="E72" i="39"/>
  <c r="F72" i="39" s="1"/>
  <c r="G72" i="39" s="1"/>
  <c r="H72" i="39" s="1"/>
  <c r="I72" i="39" s="1"/>
  <c r="J72" i="39" s="1"/>
  <c r="K72" i="39" s="1"/>
  <c r="L72" i="39" s="1"/>
  <c r="M72" i="39" s="1"/>
  <c r="N72" i="39" s="1"/>
  <c r="O72" i="39" s="1"/>
  <c r="P72" i="39" s="1"/>
  <c r="Q72" i="39" s="1"/>
  <c r="R72" i="39" s="1"/>
  <c r="S72" i="39" s="1"/>
  <c r="T72" i="39" s="1"/>
  <c r="U72" i="39" s="1"/>
  <c r="V72" i="39" s="1"/>
  <c r="W72" i="39" s="1"/>
  <c r="X72" i="39" s="1"/>
  <c r="D72" i="39"/>
  <c r="I9" i="39"/>
  <c r="G9" i="39"/>
  <c r="E9" i="39"/>
  <c r="I7" i="39"/>
  <c r="G7" i="39"/>
  <c r="E7" i="39"/>
  <c r="W17" i="72"/>
  <c r="W18" i="72" s="1"/>
  <c r="X16" i="72"/>
  <c r="X15" i="72"/>
  <c r="X14" i="72"/>
  <c r="AH6" i="1"/>
  <c r="B35" i="1"/>
  <c r="F19" i="6"/>
  <c r="I13" i="3"/>
  <c r="B19" i="3"/>
  <c r="B17" i="3"/>
  <c r="P71" i="39" l="1"/>
  <c r="Q69" i="39"/>
  <c r="O71" i="39"/>
  <c r="W19" i="72"/>
  <c r="X18" i="72"/>
  <c r="X17" i="72"/>
  <c r="R69" i="39" l="1"/>
  <c r="Q71" i="39"/>
  <c r="W20" i="72"/>
  <c r="X19" i="72"/>
  <c r="R71" i="39" l="1"/>
  <c r="S69" i="39"/>
  <c r="X20" i="72"/>
  <c r="X21" i="72" s="1"/>
  <c r="T69" i="39" l="1"/>
  <c r="S71" i="39"/>
  <c r="T71" i="39" l="1"/>
  <c r="U69" i="39"/>
  <c r="V69" i="39" l="1"/>
  <c r="U71" i="39"/>
  <c r="V71" i="39" l="1"/>
  <c r="W69" i="39"/>
  <c r="X69" i="39" l="1"/>
  <c r="W71" i="39"/>
  <c r="X71" i="39" l="1"/>
  <c r="Y69" i="39"/>
  <c r="Z69" i="39" l="1"/>
  <c r="Y71" i="39"/>
  <c r="Z71" i="39" l="1"/>
  <c r="AA69" i="39"/>
  <c r="AA71" i="39" s="1"/>
  <c r="Y21" i="72" l="1"/>
  <c r="Y13" i="72" s="1"/>
  <c r="Y16" i="72" l="1"/>
  <c r="Y15" i="72"/>
  <c r="Y14" i="72"/>
  <c r="Y18" i="72"/>
  <c r="Y17" i="72"/>
  <c r="Y19" i="72"/>
  <c r="Y20" i="72"/>
  <c r="B3" i="69" l="1"/>
  <c r="C7" i="69" s="1"/>
  <c r="C5" i="69" l="1"/>
  <c r="C6" i="69"/>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100" i="46" s="1"/>
  <c r="S18" i="36"/>
  <c r="S18" i="35"/>
  <c r="S21" i="37"/>
  <c r="S21" i="34"/>
  <c r="S21" i="21"/>
  <c r="S31" i="39"/>
  <c r="C27" i="40"/>
  <c r="B5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C20" i="20"/>
  <c r="C18" i="20"/>
  <c r="B73" i="46"/>
  <c r="C17" i="20"/>
  <c r="B61" i="46"/>
  <c r="C16" i="20"/>
  <c r="B50" i="46"/>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AA21"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M5" i="46"/>
  <c r="C6" i="46" s="1"/>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B21" i="55" s="1"/>
  <c r="B72" i="63" s="1"/>
  <c r="C4" i="4"/>
  <c r="G66" i="36"/>
  <c r="J18" i="36"/>
  <c r="W18" i="36"/>
  <c r="AC18" i="36"/>
  <c r="L20" i="6"/>
  <c r="B20" i="55"/>
  <c r="B70" i="63" s="1"/>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8" i="44"/>
  <c r="L48" i="15"/>
  <c r="I6" i="65"/>
  <c r="J7" i="65"/>
  <c r="B14" i="67"/>
  <c r="J3" i="65"/>
  <c r="F18" i="44"/>
  <c r="F13" i="15"/>
  <c r="M10" i="44"/>
  <c r="F11" i="44"/>
  <c r="E14" i="67"/>
  <c r="F28" i="44"/>
  <c r="N5" i="65"/>
  <c r="M26" i="44"/>
  <c r="M8" i="15"/>
  <c r="M30" i="44"/>
  <c r="F40" i="15"/>
  <c r="N7" i="65"/>
  <c r="B9" i="67"/>
  <c r="I4" i="65"/>
  <c r="N4" i="65"/>
  <c r="M23" i="15"/>
  <c r="J15" i="15"/>
  <c r="B12" i="67"/>
  <c r="F10" i="44"/>
  <c r="M29" i="15"/>
  <c r="B13" i="67"/>
  <c r="F36" i="15"/>
  <c r="I7" i="65"/>
  <c r="F43" i="44"/>
  <c r="F16" i="15"/>
  <c r="F38" i="15"/>
  <c r="F7" i="15"/>
  <c r="I3" i="65"/>
  <c r="J36" i="15"/>
  <c r="F9" i="15"/>
  <c r="E12" i="67"/>
  <c r="F45" i="44"/>
  <c r="M24" i="15"/>
  <c r="F12" i="67"/>
  <c r="E11" i="67"/>
  <c r="E13" i="67"/>
  <c r="F9" i="44"/>
  <c r="I5" i="65"/>
  <c r="M31" i="44"/>
  <c r="F13" i="67"/>
  <c r="J17" i="44"/>
  <c r="F15" i="44"/>
  <c r="F43" i="15"/>
  <c r="E10" i="67"/>
  <c r="N3" i="65"/>
  <c r="N6" i="65"/>
  <c r="F6" i="15"/>
  <c r="F37" i="15"/>
  <c r="J5" i="65"/>
  <c r="F11" i="67"/>
  <c r="L48" i="44"/>
  <c r="E9" i="67"/>
  <c r="F8" i="67"/>
  <c r="M6" i="15"/>
  <c r="M22" i="15"/>
  <c r="B11" i="67"/>
  <c r="M9" i="15"/>
  <c r="E8" i="67"/>
  <c r="F40" i="44"/>
  <c r="M11" i="44"/>
  <c r="B8" i="67"/>
  <c r="F26" i="15"/>
  <c r="M26" i="15"/>
  <c r="F10" i="67"/>
  <c r="B10" i="67"/>
  <c r="F39" i="44"/>
  <c r="M24" i="44"/>
  <c r="L49" i="44"/>
  <c r="M28" i="44"/>
  <c r="F14" i="67"/>
  <c r="J6" i="65"/>
  <c r="F38" i="44"/>
  <c r="L47" i="15"/>
  <c r="M8" i="44"/>
  <c r="J4" i="65"/>
  <c r="F42" i="15"/>
  <c r="M28" i="15"/>
  <c r="M25" i="44"/>
  <c r="F8" i="15"/>
  <c r="F9" i="67"/>
  <c r="A30" i="51" l="1"/>
  <c r="B22" i="63" s="1"/>
  <c r="A30" i="64"/>
  <c r="P75" i="15"/>
  <c r="F100" i="39"/>
  <c r="G100" i="39" s="1"/>
  <c r="H27" i="39"/>
  <c r="AB27" i="39" s="1"/>
  <c r="F27" i="39"/>
  <c r="AA27" i="39" s="1"/>
  <c r="J27" i="39"/>
  <c r="AC27" i="39" s="1"/>
  <c r="U27" i="39"/>
  <c r="S27" i="39"/>
  <c r="W41" i="39"/>
  <c r="AC19" i="39"/>
  <c r="AA19" i="39"/>
  <c r="U19" i="39"/>
  <c r="B101" i="46"/>
  <c r="B79" i="46"/>
  <c r="B76" i="46"/>
  <c r="B77" i="46"/>
  <c r="C31" i="39"/>
  <c r="B68" i="46"/>
  <c r="G29" i="6"/>
  <c r="C51" i="10"/>
  <c r="A9" i="64" s="1"/>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C18" i="44"/>
  <c r="E2" i="65"/>
  <c r="W27" i="39" l="1"/>
  <c r="J7" i="3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1" i="15"/>
  <c r="F46" i="44"/>
  <c r="D46" i="9" l="1"/>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7" i="15"/>
  <c r="M29" i="44"/>
  <c r="T16" i="46" l="1"/>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M21" i="15"/>
  <c r="F35" i="15"/>
  <c r="C16" i="44"/>
  <c r="F37" i="44"/>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s="1"/>
  <c r="D19" i="9"/>
  <c r="D20" i="9"/>
  <c r="B5" i="12" l="1"/>
  <c r="D22" i="9"/>
  <c r="G19" i="9"/>
  <c r="C32" i="9" s="1"/>
  <c r="L44" i="9"/>
  <c r="B4" i="12"/>
  <c r="G20" i="9"/>
  <c r="N43" i="9"/>
  <c r="D21" i="9"/>
  <c r="G22" i="9" l="1"/>
  <c r="G21" i="9"/>
  <c r="O43" i="9"/>
  <c r="O38" i="9"/>
  <c r="D14" i="66" s="1"/>
  <c r="G14" i="66" s="1"/>
  <c r="B6" i="66" s="1"/>
  <c r="C42" i="9"/>
  <c r="C33" i="9"/>
  <c r="C34" i="9"/>
  <c r="C35" i="9"/>
  <c r="F42" i="9" s="1"/>
  <c r="C6" i="66" l="1"/>
  <c r="D6" i="66"/>
  <c r="E14" i="66"/>
  <c r="B5" i="66"/>
  <c r="F14" i="66"/>
  <c r="R5" i="54"/>
  <c r="B48" i="63" s="1"/>
  <c r="D63" i="9"/>
  <c r="N68" i="9"/>
  <c r="D42" i="9"/>
  <c r="Q5" i="54" s="1"/>
  <c r="B47" i="63" s="1"/>
  <c r="N38" i="9"/>
  <c r="K28" i="9" s="1"/>
  <c r="K25" i="9"/>
  <c r="K26" i="9"/>
  <c r="E42" i="9"/>
  <c r="P5" i="54" s="1"/>
  <c r="B46" i="63" s="1"/>
  <c r="M38" i="9"/>
  <c r="K27" i="9" s="1"/>
  <c r="D5" i="66" l="1"/>
  <c r="C5" i="66"/>
  <c r="C111" i="9"/>
  <c r="C104" i="9" s="1"/>
  <c r="C82" i="9"/>
  <c r="C81" i="9" s="1"/>
  <c r="C85" i="9" s="1"/>
  <c r="C86" i="9" s="1"/>
  <c r="D72" i="9" s="1"/>
  <c r="D70" i="9"/>
  <c r="D71" i="9"/>
  <c r="D66" i="9" s="1"/>
  <c r="N72" i="9" s="1"/>
  <c r="D73" i="9"/>
  <c r="N73" i="9" s="1"/>
  <c r="C96" i="9"/>
  <c r="C91" i="9" s="1"/>
  <c r="C103" i="9"/>
  <c r="C113" i="9" s="1"/>
  <c r="C90" i="9"/>
  <c r="C97" i="9" l="1"/>
  <c r="C98" i="9" s="1"/>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<sst xmlns="http://schemas.openxmlformats.org/spreadsheetml/2006/main" count="7430" uniqueCount="3357">
  <si>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</si>
  <si>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</si>
  <si>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</si>
  <si>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</si>
  <si>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</si>
  <si>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</si>
  <si>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</si>
  <si>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</si>
  <si>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</si>
  <si>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</si>
  <si>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</si>
  <si>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</si>
  <si>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</si>
  <si>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</si>
  <si>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</si>
  <si>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</si>
  <si>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</si>
  <si>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</si>
  <si>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</si>
  <si>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</si>
  <si>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</si>
  <si>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</si>
  <si>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</si>
  <si>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</si>
  <si>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</si>
  <si>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</si>
  <si>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</si>
  <si>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</si>
  <si>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</si>
  <si>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</si>
  <si>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</si>
  <si>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</si>
  <si>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</si>
  <si>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</si>
  <si>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</si>
  <si>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</si>
  <si>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</si>
  <si>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</si>
  <si>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</si>
  <si>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</si>
  <si>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</si>
  <si>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</si>
  <si>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</si>
  <si>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</si>
  <si>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</si>
  <si>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</si>
  <si>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</si>
  <si>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</si>
  <si>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</si>
  <si>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</si>
  <si>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</si>
  <si>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</si>
  <si>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</si>
  <si>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</si>
  <si>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</si>
  <si>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</si>
  <si>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</si>
  <si>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</si>
  <si>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</si>
  <si>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</si>
  <si>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</si>
  <si>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</si>
  <si>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</si>
  <si>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</si>
  <si>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</si>
  <si>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</si>
  <si>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</si>
  <si>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</si>
  <si>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</si>
  <si>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</si>
  <si>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</si>
  <si>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</si>
  <si>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</si>
  <si>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</si>
  <si>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</si>
  <si>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</si>
  <si>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</si>
  <si>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</si>
  <si>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</si>
  <si>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</si>
  <si>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</si>
  <si>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</si>
  <si>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</si>
  <si>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</si>
  <si>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</si>
  <si>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</si>
  <si>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</si>
  <si>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</si>
  <si>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</si>
  <si>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</si>
  <si>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</si>
  <si>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</si>
  <si>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</si>
  <si>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</si>
  <si>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</si>
  <si>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</si>
  <si>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</si>
  <si>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</si>
  <si>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</si>
  <si>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</si>
  <si>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</si>
  <si>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</si>
  <si>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</si>
  <si>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</si>
  <si>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</si>
  <si>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</si>
  <si>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</si>
  <si>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</si>
  <si>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</si>
  <si>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</si>
  <si>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</si>
  <si>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</si>
  <si>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</si>
  <si>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</si>
  <si>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</si>
  <si>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</si>
  <si>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</si>
  <si>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</si>
  <si>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</si>
  <si>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</si>
  <si>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</si>
  <si>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</si>
  <si>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</si>
  <si>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</si>
  <si>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</si>
  <si>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</si>
  <si>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</si>
  <si>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</si>
  <si>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</si>
  <si>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</si>
  <si>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</si>
  <si>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</si>
  <si>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</si>
  <si>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</si>
  <si>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</si>
  <si>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</si>
  <si>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</si>
  <si>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</si>
  <si>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</si>
  <si>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</si>
  <si>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</si>
  <si>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</si>
  <si>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</si>
  <si>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</si>
  <si>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</si>
  <si>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</si>
  <si>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</si>
  <si>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</si>
  <si>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</si>
  <si>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</si>
  <si>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</si>
  <si>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</si>
  <si>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</si>
  <si>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</si>
  <si>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</si>
  <si>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</si>
  <si>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</si>
  <si>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</si>
  <si>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</si>
  <si>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</si>
  <si>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</si>
  <si>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</si>
  <si>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</si>
  <si>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</si>
  <si>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</si>
  <si>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</si>
  <si>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</si>
  <si>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</si>
  <si>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</si>
  <si>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</si>
  <si>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</si>
  <si>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</si>
  <si>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</si>
  <si>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</si>
  <si>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</si>
  <si>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</si>
  <si>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</si>
  <si>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</si>
  <si>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</si>
  <si>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</si>
  <si>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</si>
  <si>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</si>
  <si>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</si>
  <si>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</si>
  <si>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</si>
  <si>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</si>
  <si>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</si>
  <si>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</si>
  <si>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</si>
  <si>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</si>
  <si>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</si>
  <si>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</si>
  <si>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</si>
  <si>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</si>
  <si>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</si>
  <si>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</si>
  <si>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</si>
  <si>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</si>
  <si>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</si>
  <si>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</si>
  <si>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</si>
  <si>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</si>
  <si>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</si>
  <si>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</si>
  <si>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</si>
  <si>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</si>
  <si>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</si>
  <si>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</si>
  <si>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</si>
  <si>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</si>
  <si>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</si>
  <si>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</si>
  <si>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</si>
  <si>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</si>
  <si>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</si>
  <si>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</si>
  <si>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</si>
  <si>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</si>
  <si>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</si>
  <si>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</si>
  <si>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</si>
  <si>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</si>
  <si>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</si>
  <si>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</si>
  <si>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</si>
  <si>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</si>
  <si>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</si>
  <si>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</si>
  <si>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</si>
  <si>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</si>
  <si>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</si>
  <si>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</si>
  <si>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</si>
  <si>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</si>
  <si>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</si>
  <si>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</si>
  <si>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</si>
  <si>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</si>
  <si>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</si>
  <si>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</si>
  <si>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</si>
  <si>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</si>
  <si>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</si>
  <si>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</si>
  <si>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</si>
  <si>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</si>
  <si>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</si>
  <si>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</si>
  <si>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</si>
  <si>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</si>
  <si>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</si>
  <si>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</si>
  <si>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</si>
  <si>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</si>
  <si>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</si>
  <si>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</si>
  <si>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</si>
  <si>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</si>
  <si>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</si>
  <si>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</si>
  <si>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</si>
  <si>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</si>
  <si>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</si>
  <si>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</si>
  <si>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</si>
  <si>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</si>
  <si>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</si>
  <si>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</si>
  <si>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</si>
  <si>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</si>
  <si>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</si>
  <si>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</si>
  <si>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</si>
  <si>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</si>
  <si>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</si>
  <si>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</si>
  <si>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</si>
  <si>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</si>
  <si>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</si>
  <si>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</si>
  <si>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</si>
  <si>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</si>
  <si>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</si>
  <si>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</si>
  <si>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</si>
  <si>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</si>
  <si>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</si>
  <si>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</si>
  <si>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</si>
  <si>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</si>
  <si>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</si>
  <si>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</si>
  <si>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</si>
  <si>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</si>
  <si>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</si>
  <si>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</si>
  <si>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</si>
  <si>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</si>
  <si>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</si>
  <si>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</si>
  <si>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</si>
  <si>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</si>
  <si>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</si>
  <si>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</si>
  <si>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</si>
  <si>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</si>
  <si>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</si>
  <si>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</si>
  <si>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</si>
  <si>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</si>
  <si>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</si>
  <si>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</si>
  <si>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</si>
  <si>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</si>
  <si>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</si>
  <si>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</si>
  <si>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</si>
  <si>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</si>
  <si>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</si>
  <si>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</si>
  <si>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</si>
  <si>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</si>
  <si>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</si>
  <si>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</si>
  <si>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</si>
  <si>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</si>
  <si>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</si>
  <si>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</si>
  <si>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</si>
  <si>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</si>
  <si>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</si>
  <si>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</si>
  <si>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</si>
  <si>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</si>
  <si>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</si>
  <si>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</si>
  <si>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</si>
  <si>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</si>
  <si>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</si>
  <si>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</si>
  <si>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</si>
  <si>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</si>
  <si>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</si>
  <si>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</si>
  <si>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</si>
  <si>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</si>
  <si>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</si>
  <si>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</si>
  <si>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</si>
  <si>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</si>
  <si>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</si>
  <si>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</si>
  <si>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</si>
  <si>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</si>
  <si>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</si>
  <si>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</si>
  <si>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</si>
  <si>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</si>
  <si>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</si>
  <si>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</si>
  <si>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</si>
  <si>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</si>
  <si>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</si>
  <si>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</si>
  <si>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</si>
  <si>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</si>
  <si>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</si>
  <si>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</si>
  <si>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</si>
  <si>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</si>
  <si>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</si>
  <si>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</si>
  <si>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</si>
  <si>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</si>
  <si>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</si>
  <si>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</si>
  <si>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</si>
  <si>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</si>
  <si>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</si>
  <si>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</si>
  <si>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</si>
  <si>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</si>
  <si>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</si>
  <si>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</si>
  <si>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</si>
  <si>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</si>
  <si>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</si>
  <si>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</si>
  <si>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</si>
  <si>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</si>
  <si>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</si>
  <si>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</si>
  <si>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</si>
  <si>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</si>
  <si>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</si>
  <si>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</si>
  <si>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</si>
  <si>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</si>
  <si>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</si>
  <si>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</si>
  <si>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</si>
  <si>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</si>
  <si>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</si>
  <si>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</si>
  <si>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</si>
  <si>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</si>
  <si>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</si>
  <si>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</si>
  <si>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</si>
  <si>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</si>
  <si>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</si>
  <si>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</si>
  <si>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</si>
  <si>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</si>
  <si>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</si>
  <si>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</si>
  <si>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</si>
  <si>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</si>
  <si>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</si>
  <si>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</si>
  <si>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</si>
  <si>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</si>
  <si>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</si>
  <si>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</si>
  <si>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</si>
  <si>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</si>
  <si>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</si>
  <si>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</si>
  <si>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</si>
  <si>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</si>
  <si>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</si>
  <si>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</si>
  <si>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</si>
  <si>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</si>
  <si>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</si>
  <si>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</si>
  <si>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</si>
  <si>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</si>
  <si>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</si>
  <si>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</si>
  <si>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</si>
  <si>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</si>
  <si>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</si>
  <si>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</si>
  <si>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</si>
  <si>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</si>
  <si>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</si>
  <si>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</si>
  <si>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</si>
  <si>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</si>
  <si>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</si>
  <si>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</si>
  <si>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</si>
  <si>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</si>
  <si>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</si>
  <si>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</si>
  <si>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</si>
  <si>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</si>
  <si>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</si>
  <si>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</si>
  <si>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</si>
  <si>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</si>
  <si>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</si>
  <si>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</si>
  <si>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</si>
  <si>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</si>
  <si>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</si>
  <si>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</si>
  <si>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</si>
  <si>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</si>
  <si>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</si>
  <si>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</si>
  <si>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</si>
  <si>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</si>
  <si>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</si>
  <si>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</si>
  <si>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</si>
  <si>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</si>
  <si>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</si>
  <si>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</si>
  <si>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</si>
  <si>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</si>
  <si>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</si>
  <si>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</si>
  <si>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</si>
  <si>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</si>
  <si>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</si>
  <si>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</si>
  <si>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</si>
  <si>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</si>
  <si>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</si>
  <si>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</si>
  <si>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</si>
  <si>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</si>
  <si>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</si>
  <si>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</si>
  <si>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</si>
  <si>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</si>
  <si>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</si>
  <si>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</si>
  <si>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</si>
  <si>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</si>
  <si>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</si>
  <si>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</si>
  <si>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</si>
  <si>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</si>
  <si>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</si>
  <si>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</si>
  <si>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</si>
  <si>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</si>
  <si>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</si>
  <si>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</si>
  <si>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</si>
  <si>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</si>
  <si>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</si>
  <si>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</si>
  <si>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</si>
  <si>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</si>
  <si>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</si>
  <si>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</si>
  <si>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</si>
  <si>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</si>
  <si>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</si>
  <si>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</si>
  <si>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</si>
  <si>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</si>
  <si>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</si>
  <si>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</si>
  <si>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</si>
  <si>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</si>
  <si>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</si>
  <si>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</si>
  <si>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</si>
  <si>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</si>
  <si>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</si>
  <si>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</si>
  <si>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</si>
  <si>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</si>
  <si>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</si>
  <si>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</si>
  <si>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</si>
  <si>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</si>
  <si>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</si>
  <si>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</si>
  <si>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</si>
  <si>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</si>
  <si>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</si>
  <si>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</si>
  <si>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</si>
  <si>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</si>
  <si>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</si>
  <si>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</si>
  <si>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</si>
  <si>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</si>
  <si>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</si>
  <si>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</si>
  <si>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</si>
  <si>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</si>
  <si>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</si>
  <si>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</si>
  <si>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</si>
  <si>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</si>
  <si>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</si>
  <si>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</si>
  <si>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</si>
  <si>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</si>
  <si>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</si>
  <si>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</si>
  <si>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</si>
  <si>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</si>
  <si>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</si>
  <si>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</si>
  <si>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</si>
  <si>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</si>
  <si>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</si>
  <si>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</si>
  <si>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</si>
  <si>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</si>
  <si>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</si>
  <si>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</si>
  <si>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</si>
  <si>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</si>
  <si>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</si>
  <si>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</si>
  <si>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</si>
  <si>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</si>
  <si>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</si>
  <si>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</si>
  <si>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</si>
  <si>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</si>
  <si>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</si>
  <si>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</si>
  <si>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</si>
  <si>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</si>
  <si>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</si>
  <si>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</si>
  <si>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</si>
  <si>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</si>
  <si>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</si>
  <si>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</si>
  <si>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</si>
  <si>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</si>
  <si>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</si>
  <si>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</si>
  <si>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</si>
  <si>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</si>
  <si>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</si>
  <si>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</si>
  <si>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</si>
  <si>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</si>
  <si>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</si>
  <si>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</si>
  <si>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</si>
  <si>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</si>
  <si>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</si>
  <si>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</si>
  <si>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</si>
  <si>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</si>
  <si>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</si>
  <si>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</si>
  <si>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</si>
  <si>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</si>
  <si>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</si>
  <si>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</si>
  <si>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</si>
  <si>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</si>
  <si>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</si>
  <si>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</si>
  <si>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</si>
  <si>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</si>
  <si>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</si>
  <si>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</si>
  <si>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</si>
  <si>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</si>
  <si>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</si>
  <si>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</si>
  <si>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</si>
  <si>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</si>
  <si>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</si>
  <si>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</si>
  <si>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</si>
  <si>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</si>
  <si>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</si>
  <si>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</si>
  <si>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</si>
  <si>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</si>
  <si>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</si>
  <si>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</si>
  <si>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</si>
  <si>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</si>
  <si>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</si>
  <si>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</si>
  <si>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</si>
  <si>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</si>
  <si>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</si>
  <si>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</si>
  <si>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</si>
  <si>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</si>
  <si>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</si>
  <si>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</si>
  <si>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</si>
  <si>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</si>
  <si>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</si>
  <si>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</si>
  <si>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</si>
  <si>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</si>
  <si>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</si>
  <si>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</si>
  <si>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</si>
  <si>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</si>
  <si>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</si>
  <si>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</si>
  <si>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</si>
  <si>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</si>
  <si>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</si>
  <si>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</si>
  <si>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</si>
  <si>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</si>
  <si>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</si>
  <si>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</si>
  <si>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</si>
  <si>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</si>
  <si>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</si>
  <si>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</si>
  <si>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</si>
  <si>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</si>
  <si>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</si>
  <si>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</si>
  <si>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</si>
  <si>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</si>
  <si>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</si>
  <si>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</si>
  <si>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</si>
  <si>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</si>
  <si>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</si>
  <si>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</si>
  <si>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</si>
  <si>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</si>
  <si>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</si>
  <si>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</si>
  <si>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</si>
  <si>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</si>
  <si>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</si>
  <si>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</si>
  <si>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</si>
  <si>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</si>
  <si>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</si>
  <si>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</si>
  <si>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</si>
  <si>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</si>
  <si>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</si>
  <si>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</si>
  <si>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</si>
  <si>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</si>
  <si>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</si>
  <si>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</si>
  <si>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</si>
  <si>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</si>
  <si>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</si>
  <si>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</si>
  <si>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</si>
  <si>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</si>
  <si>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</si>
  <si>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</si>
  <si>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</si>
  <si>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</si>
  <si>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</si>
  <si>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</si>
  <si>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</si>
  <si>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</si>
  <si>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</si>
  <si>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</si>
  <si>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</si>
  <si>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</si>
  <si>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</si>
  <si>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</si>
  <si>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</si>
  <si>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</si>
  <si>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</si>
  <si>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</si>
  <si>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</si>
  <si>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</si>
  <si>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</si>
  <si>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</si>
  <si>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</si>
  <si>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</si>
  <si>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</si>
  <si>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</si>
  <si>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</si>
  <si>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</si>
  <si>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</si>
  <si>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</si>
  <si>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</si>
  <si>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</si>
  <si>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</si>
  <si>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</si>
  <si>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</si>
  <si>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</si>
  <si>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</si>
  <si>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</si>
  <si>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</si>
  <si>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</si>
  <si>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</si>
  <si>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</si>
  <si>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</si>
  <si>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</si>
  <si>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</si>
  <si>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</si>
  <si>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</si>
  <si>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</si>
  <si>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</si>
  <si>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</si>
  <si>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</si>
  <si>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</si>
  <si>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</si>
  <si>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</si>
  <si>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</si>
  <si>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</si>
  <si>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</si>
  <si>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</si>
  <si>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</si>
  <si>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</si>
  <si>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</si>
  <si>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</si>
  <si>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</si>
  <si>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</si>
  <si>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</si>
  <si>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</si>
  <si>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</si>
  <si>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</si>
  <si>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</si>
  <si>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</si>
  <si>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</si>
  <si>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</si>
  <si>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</si>
  <si>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</si>
  <si>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</si>
  <si>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</si>
  <si>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</si>
  <si>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</si>
  <si>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</si>
  <si>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</si>
  <si>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</si>
  <si>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</si>
  <si>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</si>
  <si>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</si>
  <si>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</si>
  <si>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</si>
  <si>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</si>
  <si>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</si>
  <si>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</si>
  <si>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</si>
  <si>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</si>
  <si>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</si>
  <si>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</si>
  <si>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</si>
  <si>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</si>
  <si>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</si>
  <si>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</si>
  <si>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</si>
  <si>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</si>
  <si>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</si>
  <si>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</si>
  <si>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</si>
  <si>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</si>
  <si>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</si>
  <si>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</si>
  <si>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</si>
  <si>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</si>
  <si>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</si>
  <si>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</si>
  <si>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</si>
  <si>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</si>
  <si>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</si>
  <si>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</si>
  <si>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</si>
  <si>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</si>
  <si>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</si>
  <si>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</si>
  <si>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</si>
  <si>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</si>
  <si>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</si>
  <si>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</si>
  <si>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</si>
  <si>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</si>
  <si>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</si>
  <si>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</si>
  <si>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</si>
  <si>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</si>
  <si>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</si>
  <si>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</si>
  <si>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</si>
  <si>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</si>
  <si>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</si>
  <si>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</si>
  <si>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</si>
  <si>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</si>
  <si>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</si>
  <si>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</si>
  <si>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</si>
  <si>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</si>
  <si>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</si>
  <si>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</si>
  <si>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</si>
  <si>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</si>
  <si>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</si>
  <si>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</si>
  <si>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</si>
  <si>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</si>
  <si>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</si>
  <si>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</si>
  <si>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</si>
  <si>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</si>
  <si>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</si>
  <si>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</si>
  <si>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</si>
  <si>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</si>
  <si>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</si>
  <si>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</si>
  <si>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</si>
  <si>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</si>
  <si>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</si>
  <si>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</si>
  <si>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</si>
  <si>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</si>
  <si>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</si>
  <si>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</si>
  <si>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</si>
  <si>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</si>
  <si>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</si>
  <si>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</si>
  <si>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</si>
  <si>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</si>
  <si>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</si>
  <si>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</si>
  <si>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</si>
  <si>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</si>
  <si>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</si>
  <si>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</si>
  <si>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</si>
  <si>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</si>
  <si>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</si>
  <si>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</si>
  <si>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</si>
  <si>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</si>
  <si>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</si>
  <si>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</si>
  <si>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</si>
  <si>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</si>
  <si>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</si>
  <si>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</si>
  <si>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</si>
  <si>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</si>
  <si>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</si>
  <si>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</si>
  <si>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</si>
  <si>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</si>
  <si>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</si>
  <si>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</si>
  <si>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</si>
  <si>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</si>
  <si>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</si>
  <si>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</si>
  <si>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</si>
  <si>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</si>
  <si>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</si>
  <si>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</si>
  <si>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</si>
  <si>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</si>
  <si>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</si>
  <si>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</si>
  <si>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</si>
  <si>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</si>
  <si>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</si>
  <si>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</si>
  <si>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</si>
  <si>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</si>
  <si>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</si>
  <si>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</si>
  <si>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</si>
  <si>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</si>
  <si>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</si>
  <si>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</si>
  <si>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</si>
  <si>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</si>
  <si>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</si>
  <si>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</si>
  <si>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</si>
  <si>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</si>
  <si>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</si>
  <si>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</si>
  <si>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</si>
  <si>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</si>
  <si>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</si>
  <si>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</si>
  <si>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</si>
  <si>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</si>
  <si>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</si>
  <si>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</si>
  <si>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</si>
  <si>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</si>
  <si>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</si>
  <si>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</si>
  <si>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</si>
  <si>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</si>
  <si>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</si>
  <si>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</si>
  <si>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</si>
  <si>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</si>
  <si>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</si>
  <si>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</si>
  <si>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</si>
  <si>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</si>
  <si>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</si>
  <si>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</si>
  <si>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</si>
  <si>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</si>
  <si>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</si>
  <si>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</si>
  <si>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</si>
  <si>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</si>
  <si>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</si>
  <si>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</si>
  <si>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</si>
  <si>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</si>
  <si>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</si>
  <si>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</si>
  <si>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</si>
  <si>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</si>
  <si>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</si>
  <si>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</si>
  <si>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</si>
  <si>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</si>
  <si>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</si>
  <si>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</si>
  <si>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</si>
  <si>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</si>
  <si>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</si>
  <si>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</si>
  <si>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</si>
  <si>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</si>
  <si>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</si>
  <si>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</si>
  <si>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</si>
  <si>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</si>
  <si>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</si>
  <si>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</si>
  <si>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</si>
  <si>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</si>
  <si>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</si>
  <si>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</si>
  <si>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</si>
  <si>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</si>
  <si>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</si>
  <si>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</si>
  <si>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</si>
  <si>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</si>
  <si>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</si>
  <si>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</si>
  <si>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</si>
  <si>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</si>
  <si>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</si>
  <si>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</si>
  <si>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</si>
  <si>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</si>
  <si>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</si>
  <si>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</si>
  <si>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</si>
  <si>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</si>
  <si>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</si>
  <si>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</si>
  <si>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</si>
  <si>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</si>
  <si>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</si>
  <si>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</si>
  <si>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</si>
  <si>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</si>
  <si>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</si>
  <si>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</si>
  <si>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</si>
  <si>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</si>
  <si>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</si>
  <si>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</si>
  <si>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</si>
  <si>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</si>
  <si>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</si>
  <si>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</si>
  <si>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</si>
  <si>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</si>
  <si>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</si>
  <si>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</si>
  <si>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</si>
  <si>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</si>
  <si>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</si>
  <si>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</si>
  <si>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</si>
  <si>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</si>
  <si>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</si>
  <si>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</si>
  <si>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</si>
  <si>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</si>
  <si>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</si>
  <si>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</si>
  <si>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</si>
  <si>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</si>
  <si>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</si>
  <si>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</si>
  <si>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</si>
  <si>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</si>
  <si>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</si>
  <si>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</si>
  <si>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</si>
  <si>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</si>
  <si>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</si>
  <si>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</si>
  <si>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</si>
  <si>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</si>
  <si>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</si>
  <si>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</si>
  <si>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</si>
  <si>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</si>
  <si>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</si>
  <si>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</si>
  <si>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</si>
  <si>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</si>
  <si>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</si>
  <si>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</si>
  <si>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</si>
  <si>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</si>
  <si>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</si>
  <si>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</si>
  <si>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</si>
  <si>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</si>
  <si>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</si>
  <si>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</si>
  <si>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</si>
  <si>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</si>
  <si>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</si>
  <si>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</si>
  <si>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</si>
  <si>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</si>
  <si>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</si>
  <si>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</si>
  <si>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</si>
  <si>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</si>
  <si>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</si>
  <si>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</si>
  <si>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</si>
  <si>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</si>
  <si>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</si>
  <si>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</si>
  <si>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</si>
  <si>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</si>
  <si>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</si>
  <si>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</si>
  <si>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</si>
  <si>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</si>
  <si>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</si>
  <si>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</si>
  <si>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</si>
  <si>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</si>
  <si>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</si>
  <si>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</si>
  <si>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</si>
  <si>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</si>
  <si>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</si>
  <si>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</si>
  <si>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</si>
  <si>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</si>
  <si>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</si>
  <si>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</si>
  <si>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</si>
  <si>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</si>
  <si>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</si>
  <si>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</si>
  <si>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</si>
  <si>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</si>
  <si>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</si>
  <si>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</si>
  <si>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</si>
  <si>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</si>
  <si>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</si>
  <si>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</si>
  <si>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</si>
  <si>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</si>
  <si>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</si>
  <si>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</si>
  <si>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</si>
  <si>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</si>
  <si>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</si>
  <si>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</si>
  <si>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</si>
  <si>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</si>
  <si>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</si>
  <si>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</si>
  <si>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</si>
  <si>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</si>
  <si>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</si>
  <si>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</si>
  <si>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</si>
  <si>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</si>
  <si>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</si>
  <si>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</si>
  <si>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</si>
  <si>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</si>
  <si>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</si>
  <si>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</si>
  <si>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</si>
  <si>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</si>
  <si>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</si>
  <si>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</si>
  <si>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</si>
  <si>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</si>
  <si>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</si>
  <si>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</si>
  <si>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</si>
  <si>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</si>
  <si>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</si>
  <si>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</si>
  <si>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</si>
  <si>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</si>
  <si>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</si>
  <si>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</si>
  <si>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</si>
  <si>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</si>
  <si>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</si>
  <si>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</si>
  <si>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</si>
  <si>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</si>
  <si>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</si>
  <si>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</si>
  <si>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</si>
  <si>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</si>
  <si>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</si>
  <si>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</si>
  <si>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</si>
  <si>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</si>
  <si>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</si>
  <si>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</si>
  <si>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</si>
  <si>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</si>
  <si>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</si>
  <si>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</si>
  <si>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</si>
  <si>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</si>
  <si>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</si>
  <si>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</si>
  <si>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</si>
  <si>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</si>
  <si>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</si>
  <si>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</si>
  <si>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</si>
  <si>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</si>
  <si>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</si>
  <si>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</si>
  <si>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</si>
  <si>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</si>
  <si>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</si>
  <si>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</si>
  <si>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</si>
  <si>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</si>
  <si>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</si>
  <si>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</si>
  <si>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</si>
  <si>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</si>
  <si>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</si>
  <si>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</si>
  <si>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</si>
  <si>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</si>
  <si>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</si>
  <si>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</si>
  <si>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</si>
  <si>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</si>
  <si>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</si>
  <si>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</si>
  <si>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</si>
  <si>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</si>
  <si>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</si>
  <si>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</si>
  <si>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</si>
  <si>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</si>
  <si>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</si>
  <si>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</si>
  <si>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</si>
  <si>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</si>
  <si>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</si>
  <si>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</si>
  <si>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</si>
  <si>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</si>
  <si>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</si>
  <si>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</si>
  <si>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</si>
  <si>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</si>
  <si>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</si>
  <si>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</si>
  <si>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</si>
  <si>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</si>
  <si>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</si>
  <si>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</si>
  <si>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</si>
  <si>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</si>
  <si>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</si>
  <si>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</si>
  <si>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</si>
  <si>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</si>
  <si>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</si>
  <si>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</si>
  <si>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</si>
  <si>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</si>
  <si>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</si>
  <si>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</si>
  <si>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</si>
  <si>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</si>
  <si>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</si>
  <si>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</si>
  <si>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</si>
  <si>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</si>
  <si>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</si>
  <si>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</si>
  <si>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</si>
  <si>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</si>
  <si>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</si>
  <si>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</si>
  <si>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</si>
  <si>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</si>
  <si>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</si>
  <si>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</si>
  <si>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</si>
  <si>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</si>
  <si>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</si>
  <si>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</si>
  <si>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</si>
  <si>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</si>
  <si>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</si>
  <si>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</si>
  <si>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</si>
  <si>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</si>
  <si>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</si>
  <si>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</si>
  <si>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</si>
  <si>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</si>
  <si>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</si>
  <si>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</si>
  <si>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</si>
  <si>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</si>
  <si>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</si>
  <si>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</si>
  <si>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</si>
  <si>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</si>
  <si>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</si>
  <si>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</si>
  <si>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</si>
  <si>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</si>
  <si>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</si>
  <si>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</si>
  <si>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</si>
  <si>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</si>
  <si>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</si>
  <si>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</si>
  <si>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</si>
  <si>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</si>
  <si>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</si>
  <si>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</si>
  <si>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</si>
  <si>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</si>
  <si>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</si>
  <si>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</si>
  <si>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</si>
  <si>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</si>
  <si>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</si>
  <si>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</si>
  <si>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</si>
  <si>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</si>
  <si>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</si>
  <si>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</si>
  <si>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</si>
  <si>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</si>
  <si>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</si>
  <si>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</si>
  <si>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</si>
  <si>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</si>
  <si>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</si>
  <si>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</si>
  <si>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</si>
  <si>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</si>
  <si>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</si>
  <si>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</si>
  <si>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</si>
  <si>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</si>
  <si>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</si>
  <si>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</si>
  <si>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</si>
  <si>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</si>
  <si>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</si>
  <si>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</si>
  <si>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</si>
  <si>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</si>
  <si>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</si>
  <si>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</si>
  <si>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</si>
  <si>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</si>
  <si>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</si>
  <si>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</si>
  <si>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</si>
  <si>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</si>
  <si>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</si>
  <si>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</si>
  <si>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</si>
  <si>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</si>
  <si>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</si>
  <si>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</si>
  <si>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</si>
  <si>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</si>
  <si>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</si>
  <si>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</si>
  <si>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</si>
  <si>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</si>
  <si>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</si>
  <si>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</si>
  <si>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</si>
  <si>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</si>
  <si>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</si>
  <si>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</si>
  <si>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</si>
  <si>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</si>
  <si>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</si>
  <si>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</si>
  <si>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</si>
  <si>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</si>
  <si>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</si>
  <si>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</si>
  <si>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</si>
  <si>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</si>
  <si>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</si>
  <si>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</si>
  <si>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</si>
  <si>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</si>
  <si>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</si>
  <si>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</si>
  <si>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</si>
  <si>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</si>
  <si>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</si>
  <si>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</si>
  <si>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</si>
  <si>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</si>
  <si>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</si>
  <si>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</si>
  <si>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</si>
  <si>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</si>
  <si>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</si>
  <si>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</si>
  <si>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</si>
  <si>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</si>
  <si>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</si>
  <si>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</si>
  <si>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</si>
  <si>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</si>
  <si>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</si>
  <si>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</si>
  <si>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</si>
  <si>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</si>
  <si>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</si>
  <si>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</si>
  <si>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</si>
  <si>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</si>
  <si>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</si>
  <si>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</si>
  <si>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</si>
  <si>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</si>
  <si>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</si>
  <si>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</si>
  <si>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</si>
  <si>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</si>
  <si>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</si>
  <si>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</si>
  <si>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</si>
  <si>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</si>
  <si>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</si>
  <si>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</si>
  <si>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</si>
  <si>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</si>
  <si>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</si>
  <si>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</si>
  <si>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</si>
  <si>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</si>
  <si>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</si>
  <si>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</si>
  <si>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</si>
  <si>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</si>
  <si>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</si>
  <si>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</si>
  <si>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</si>
  <si>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</si>
  <si>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</si>
  <si>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</si>
  <si>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</si>
  <si>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</si>
  <si>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</si>
  <si>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</si>
  <si>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</si>
  <si>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</si>
  <si>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</si>
  <si>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</si>
  <si>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</si>
  <si>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</si>
  <si>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</si>
  <si>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</si>
  <si>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</si>
  <si>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</si>
  <si>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</si>
  <si>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</si>
  <si>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</si>
  <si>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</si>
  <si>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</si>
  <si>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</si>
  <si>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</si>
  <si>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</si>
  <si>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</si>
  <si>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</si>
  <si>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</si>
  <si>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</si>
  <si>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</si>
  <si>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</si>
  <si>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</si>
  <si>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</si>
  <si>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</si>
  <si>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</si>
  <si>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</si>
  <si>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</si>
  <si>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</si>
  <si>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</si>
  <si>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</si>
  <si>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</si>
  <si>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</si>
  <si>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</si>
  <si>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</si>
  <si>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</si>
  <si>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</si>
  <si>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</si>
  <si>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</si>
  <si>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</si>
  <si>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</si>
  <si>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</si>
  <si>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</si>
  <si>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</si>
  <si>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</si>
  <si>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</si>
  <si>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</si>
  <si>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</si>
  <si>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</si>
  <si>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</si>
  <si>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</si>
  <si>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</si>
  <si>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</si>
  <si>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</si>
  <si>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</si>
  <si>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</si>
  <si>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</si>
  <si>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</si>
  <si>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</si>
  <si>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</si>
  <si>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</si>
  <si>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</si>
  <si>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</si>
  <si>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</si>
  <si>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</si>
  <si>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</si>
  <si>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</si>
  <si>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</si>
  <si>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</si>
  <si>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</si>
  <si>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</si>
  <si>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</si>
  <si>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</si>
  <si>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</si>
  <si>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</si>
  <si>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</si>
  <si>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</si>
  <si>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</si>
  <si>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</si>
  <si>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</si>
  <si>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</si>
  <si>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</si>
  <si>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</si>
  <si>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</si>
  <si>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</si>
  <si>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</si>
  <si>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</si>
  <si>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</si>
  <si>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</si>
  <si>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</si>
  <si>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</si>
  <si>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</si>
  <si>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</si>
  <si>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</si>
  <si>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</si>
  <si>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</si>
  <si>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</si>
  <si>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</si>
  <si>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</si>
  <si>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</si>
  <si>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</si>
  <si>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</si>
  <si>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</si>
  <si>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</si>
  <si>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</si>
  <si>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</si>
  <si>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</si>
  <si>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</si>
  <si>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</si>
  <si>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</si>
  <si>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</si>
  <si>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</si>
  <si>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</si>
  <si>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</si>
  <si>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</si>
  <si>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</si>
  <si>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</si>
  <si>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</si>
  <si>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</si>
  <si>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</si>
  <si>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</si>
  <si>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</si>
  <si>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</si>
  <si>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</si>
  <si>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</si>
  <si>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</si>
  <si>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</si>
  <si>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</si>
  <si>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</si>
  <si>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</si>
  <si>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</si>
  <si>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</si>
  <si>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</si>
  <si>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</si>
  <si>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</si>
  <si>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</si>
  <si>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</si>
  <si>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</si>
  <si>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</si>
  <si>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</si>
  <si>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</si>
  <si>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</si>
  <si>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</si>
  <si>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</si>
  <si>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</si>
  <si>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</si>
  <si>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</si>
  <si>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</si>
  <si>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</si>
  <si>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</si>
  <si>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</si>
  <si>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</si>
  <si>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</si>
  <si>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</si>
  <si>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</si>
  <si>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</si>
  <si>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</si>
  <si>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</si>
  <si>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</si>
  <si>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</si>
  <si>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</si>
  <si>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</si>
  <si>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</si>
  <si>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</si>
  <si>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</si>
  <si>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</si>
  <si>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</si>
  <si>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</si>
  <si>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</si>
  <si>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</si>
  <si>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</si>
  <si>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</si>
  <si>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</si>
  <si>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</si>
  <si>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</si>
  <si>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</si>
  <si>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</si>
  <si>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</si>
  <si>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</si>
  <si>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</si>
  <si>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</si>
  <si>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</si>
  <si>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</si>
  <si>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</si>
  <si>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</si>
  <si>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</si>
  <si>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</si>
  <si>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</si>
  <si>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</si>
  <si>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</si>
  <si>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</si>
  <si>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</si>
  <si>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</si>
  <si>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</si>
  <si>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</si>
  <si>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</si>
  <si>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</si>
  <si>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</si>
  <si>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</si>
  <si>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</si>
  <si>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</si>
  <si>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</si>
  <si>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</si>
  <si>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</si>
  <si>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</si>
  <si>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</si>
  <si>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</si>
  <si>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</si>
  <si>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</si>
  <si>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</si>
  <si>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</si>
  <si>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</si>
  <si>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</si>
  <si>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</si>
  <si>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</si>
  <si>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</si>
  <si>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</si>
  <si>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</si>
  <si>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</si>
  <si>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</si>
  <si>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</si>
  <si>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</si>
  <si>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</si>
  <si>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</si>
  <si>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</si>
  <si>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</si>
  <si>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</si>
  <si>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</si>
  <si>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</si>
  <si>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</si>
  <si>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</si>
  <si>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</si>
  <si>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</si>
  <si>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</si>
  <si>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</si>
  <si>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</si>
  <si>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</si>
  <si>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</si>
  <si>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</si>
  <si>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</si>
  <si>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</si>
  <si>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</si>
  <si>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</si>
  <si>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</si>
  <si>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</si>
  <si>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</si>
  <si>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</si>
  <si>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</si>
  <si>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</si>
  <si>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</si>
  <si>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</si>
  <si>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</si>
  <si>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</si>
  <si>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</si>
  <si>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</si>
  <si>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</si>
  <si>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</si>
  <si>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</si>
  <si>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</si>
  <si>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</si>
  <si>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</si>
  <si>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</si>
  <si>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</si>
  <si>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</si>
  <si>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</si>
  <si>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</si>
  <si>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</si>
  <si>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</si>
  <si>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</si>
  <si>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</si>
  <si>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</si>
  <si>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</si>
  <si>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</si>
  <si>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</si>
  <si>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</si>
  <si>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</si>
  <si>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</si>
  <si>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</si>
  <si>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</si>
  <si>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</si>
  <si>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</si>
  <si>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</si>
  <si>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</si>
  <si>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</si>
  <si>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</si>
  <si>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</si>
  <si>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</si>
  <si>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</si>
  <si>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</si>
  <si>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</si>
  <si>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</si>
  <si>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</si>
  <si>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</si>
  <si>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</si>
  <si>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</si>
  <si>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</si>
  <si>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</si>
  <si>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</si>
  <si>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</si>
  <si>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</si>
  <si>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</si>
  <si>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</si>
  <si>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</si>
  <si>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</si>
  <si>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</si>
  <si>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</si>
  <si>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</si>
  <si>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</si>
  <si>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</si>
  <si>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</si>
  <si>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</si>
  <si>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</si>
  <si>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</si>
  <si>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</si>
  <si>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</si>
  <si>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</si>
  <si>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</si>
  <si>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</si>
  <si>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</si>
  <si>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</si>
  <si>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</si>
  <si>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</si>
  <si>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</si>
  <si>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</si>
  <si>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</si>
  <si>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</si>
  <si>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</si>
  <si>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</si>
  <si>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</si>
  <si>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</si>
  <si>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</si>
  <si>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</si>
  <si>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</si>
  <si>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</si>
  <si>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</si>
  <si>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</si>
  <si>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</si>
  <si>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</si>
  <si>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</si>
  <si>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</si>
  <si>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</si>
  <si>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</si>
  <si>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</si>
  <si>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</si>
  <si>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</si>
  <si>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</si>
  <si>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</si>
  <si>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</si>
  <si>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</si>
  <si>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</si>
  <si>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</si>
  <si>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</si>
  <si>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</si>
  <si>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</si>
  <si>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</si>
  <si>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</si>
  <si>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</si>
  <si>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</si>
  <si>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</si>
  <si>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</si>
  <si>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</si>
  <si>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</si>
  <si>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</si>
  <si>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</si>
  <si>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</si>
  <si>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</si>
  <si>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</si>
  <si>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</si>
  <si>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</si>
  <si>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</si>
  <si>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</si>
  <si>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</si>
  <si>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</si>
  <si>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</si>
  <si>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</si>
  <si>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</si>
  <si>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</si>
  <si>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</si>
  <si>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</si>
  <si>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</si>
  <si>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</si>
  <si>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</si>
  <si>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</si>
  <si>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</si>
  <si>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</si>
  <si>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</si>
  <si>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</si>
  <si>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</si>
  <si>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</si>
  <si>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</si>
  <si>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</si>
  <si>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</si>
  <si>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</si>
  <si>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</si>
  <si>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</si>
  <si>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</si>
  <si>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</si>
  <si>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</si>
  <si>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</si>
  <si>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</si>
  <si>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</si>
  <si>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</si>
  <si>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</si>
  <si>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</si>
  <si>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</si>
  <si>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</si>
  <si>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</si>
  <si>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</si>
  <si>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</si>
  <si>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</si>
  <si>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</si>
  <si>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</si>
  <si>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</si>
  <si>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</si>
  <si>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</si>
  <si>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</si>
  <si>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</si>
  <si>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</si>
  <si>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</si>
  <si>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</si>
  <si>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</si>
  <si>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</si>
  <si>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</si>
  <si>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</si>
  <si>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</si>
  <si>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</si>
  <si>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</si>
  <si>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</si>
  <si>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</si>
  <si>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</si>
  <si>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</si>
  <si>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</si>
  <si>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</si>
  <si>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</si>
  <si>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</si>
  <si>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</si>
  <si>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</si>
  <si>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</si>
  <si>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</si>
  <si>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</si>
  <si>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</si>
  <si>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</si>
  <si>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</si>
  <si>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</si>
  <si>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</si>
  <si>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</si>
  <si>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</si>
  <si>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</si>
  <si>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</si>
  <si>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</si>
  <si>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</si>
  <si>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</si>
  <si>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</si>
  <si>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</si>
  <si>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</si>
  <si>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</si>
  <si>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</si>
  <si>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</si>
  <si>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</si>
  <si>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</si>
  <si>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</si>
  <si>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</si>
  <si>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</si>
  <si>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</si>
  <si>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</si>
  <si>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</si>
  <si>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</si>
  <si>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</si>
  <si>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</si>
  <si>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</si>
  <si>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</si>
  <si>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</si>
  <si>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</si>
  <si>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</si>
  <si>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</si>
  <si>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</si>
  <si>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</si>
  <si>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</si>
  <si>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</si>
  <si>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</si>
  <si>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</si>
  <si>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</si>
  <si>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</si>
  <si>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</si>
  <si>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</si>
  <si>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</si>
  <si>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</si>
  <si>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</si>
  <si>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</si>
  <si>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</si>
  <si>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</si>
  <si>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</si>
  <si>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</si>
  <si>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</si>
  <si>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</si>
  <si>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</si>
  <si>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</si>
  <si>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</si>
  <si>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</si>
  <si>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</si>
  <si>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</si>
  <si>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</si>
  <si>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</si>
  <si>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</si>
  <si>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</si>
  <si>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</si>
  <si>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</si>
  <si>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</si>
  <si>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</si>
  <si>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</si>
  <si>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</si>
  <si>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</si>
  <si>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</si>
  <si>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</si>
  <si>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</si>
  <si>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</si>
  <si>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</si>
  <si>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</si>
  <si>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</si>
  <si>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</si>
  <si>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</si>
  <si>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</si>
  <si>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</si>
  <si>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</si>
  <si>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</si>
  <si>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</si>
  <si>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</si>
  <si>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</si>
  <si>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</si>
  <si>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</si>
  <si>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</si>
  <si>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</si>
  <si>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</si>
  <si>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</si>
  <si>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</si>
  <si>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</si>
  <si>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</si>
  <si>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</si>
  <si>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</si>
  <si>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</si>
  <si>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</si>
  <si>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</si>
  <si>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</si>
  <si>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</si>
  <si>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</si>
  <si>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</si>
  <si>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</si>
  <si>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</si>
  <si>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</si>
  <si>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</si>
  <si>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</si>
  <si>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</si>
  <si>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</si>
  <si>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</si>
  <si>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</si>
  <si>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</si>
  <si>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</si>
  <si>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</si>
  <si>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</si>
  <si>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</si>
  <si>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</si>
  <si>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</si>
  <si>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</si>
  <si>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</si>
  <si>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</si>
  <si>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</si>
  <si>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</si>
  <si>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</si>
  <si>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</si>
  <si>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</si>
  <si>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</si>
  <si>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</si>
  <si>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</si>
  <si>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</si>
  <si>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</si>
  <si>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</si>
  <si>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</si>
  <si>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</si>
  <si>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</si>
  <si>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</si>
  <si>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</si>
  <si>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</si>
  <si>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</si>
  <si>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</si>
  <si>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</si>
  <si>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</si>
  <si>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</si>
  <si>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</si>
  <si>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</si>
  <si>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</si>
  <si>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</si>
  <si>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</si>
  <si>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</si>
  <si>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</si>
  <si>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</si>
  <si>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</si>
  <si>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</si>
  <si>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</si>
  <si>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</si>
  <si>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</si>
  <si>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</si>
  <si>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</si>
  <si>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</si>
  <si>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</si>
  <si>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</si>
  <si>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</si>
  <si>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</si>
  <si>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</si>
  <si>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</si>
  <si>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</si>
  <si>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</si>
  <si>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</si>
  <si>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</si>
  <si>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</si>
  <si>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</si>
  <si>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</si>
  <si>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</si>
  <si>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</si>
  <si>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</si>
  <si>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</si>
  <si>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</si>
  <si>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</si>
  <si>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</si>
  <si>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</si>
  <si>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</si>
  <si>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</si>
  <si>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</si>
  <si>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</si>
  <si>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</si>
  <si>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</si>
  <si>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</si>
  <si>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</si>
  <si>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</si>
  <si>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</si>
  <si>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</si>
  <si>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</si>
  <si>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</si>
  <si>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</si>
  <si>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</si>
  <si>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</si>
  <si>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</si>
  <si>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</si>
  <si>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</si>
  <si>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</si>
  <si>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</si>
  <si>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</si>
  <si>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</si>
  <si>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</si>
  <si>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</si>
  <si>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</si>
  <si>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</si>
  <si>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</si>
  <si>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</si>
  <si>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</si>
  <si>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</si>
  <si>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</si>
  <si>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</si>
  <si>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</si>
  <si>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</si>
  <si>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</si>
  <si>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</si>
  <si>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</si>
  <si>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</si>
  <si>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</si>
  <si>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</si>
  <si>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</si>
  <si>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</si>
  <si>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</si>
  <si>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</si>
  <si>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</si>
  <si>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</si>
  <si>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</si>
  <si>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</si>
  <si>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</si>
  <si>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</si>
  <si>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</si>
  <si>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</si>
  <si>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</si>
  <si>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</si>
  <si>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</si>
  <si>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</si>
  <si>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</si>
  <si>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</si>
  <si>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</si>
  <si>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</si>
  <si>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</si>
  <si>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</si>
  <si>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</si>
  <si>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</si>
  <si>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</si>
  <si>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</si>
  <si>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</si>
  <si>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</si>
  <si>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</si>
  <si>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</si>
  <si>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</si>
  <si>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</si>
  <si>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</si>
  <si>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</si>
  <si>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</si>
  <si>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</si>
  <si>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</si>
  <si>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</si>
  <si>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</si>
  <si>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</si>
  <si>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</si>
  <si>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</si>
  <si>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</si>
  <si>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</si>
  <si>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</si>
  <si>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</si>
  <si>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</si>
  <si>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</si>
  <si>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</si>
  <si>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</si>
  <si>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</si>
  <si>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</si>
  <si>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</si>
  <si>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</si>
  <si>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</si>
  <si>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</si>
  <si>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</si>
  <si>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</si>
  <si>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</si>
  <si>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</si>
  <si>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</si>
  <si>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</si>
  <si>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</si>
  <si>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</si>
  <si>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</si>
  <si>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</si>
  <si>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</si>
  <si>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</si>
  <si>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</si>
  <si>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</si>
  <si>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</si>
  <si>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</si>
  <si>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</si>
  <si>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</si>
  <si>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</si>
  <si>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</si>
  <si>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</si>
  <si>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</si>
  <si>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</si>
  <si>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</si>
  <si>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</si>
  <si>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</si>
  <si>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</si>
  <si>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</si>
  <si>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</si>
  <si>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</si>
  <si>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</si>
  <si>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</si>
  <si>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</si>
  <si>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</si>
  <si>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</si>
  <si>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</si>
  <si>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</si>
  <si>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</si>
  <si>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</si>
  <si>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</si>
  <si>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</si>
  <si>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</si>
  <si>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</si>
  <si>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</si>
  <si>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</si>
  <si>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</si>
  <si>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</si>
  <si>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</si>
  <si>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</si>
  <si>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</si>
  <si>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</si>
  <si>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</si>
  <si>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</si>
  <si>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</si>
  <si>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</si>
  <si>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</si>
  <si>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</si>
  <si>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</si>
  <si>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</si>
  <si>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</si>
  <si>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</si>
  <si>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</si>
  <si>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</si>
  <si>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</si>
  <si>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</si>
  <si>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</si>
  <si>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</si>
  <si>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</si>
  <si>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</si>
  <si>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</si>
  <si>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</si>
  <si>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</si>
  <si>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</si>
  <si>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</si>
  <si>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</si>
  <si>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</si>
  <si>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</si>
  <si>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</si>
  <si>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</si>
  <si>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</si>
  <si>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</si>
  <si>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</si>
  <si>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</si>
  <si>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</si>
  <si>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</si>
  <si>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</si>
  <si>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</si>
  <si>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</si>
  <si>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</si>
  <si>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</si>
  <si>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</si>
  <si>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</si>
  <si>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</si>
  <si>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</si>
  <si>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</si>
  <si>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</si>
  <si>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</si>
  <si>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</si>
  <si>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</si>
  <si>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</si>
  <si>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</si>
  <si>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</si>
  <si>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</si>
  <si>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</si>
  <si>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</si>
  <si>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</si>
  <si>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</si>
  <si>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</si>
  <si>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</si>
  <si>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</si>
  <si>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</si>
  <si>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</si>
  <si>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</si>
  <si>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</si>
  <si>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</si>
  <si>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</si>
  <si>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</si>
  <si>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</si>
  <si>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</si>
  <si>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</si>
  <si>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</si>
  <si>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</si>
  <si>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</si>
  <si>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</si>
  <si>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</si>
  <si>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</si>
  <si>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</si>
  <si>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</si>
  <si>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</si>
  <si>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</si>
  <si>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</si>
  <si>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</si>
  <si>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</si>
  <si>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</si>
  <si>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</si>
  <si>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</si>
  <si>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</si>
  <si>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</si>
  <si>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</si>
  <si>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</si>
  <si>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</si>
  <si>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</si>
  <si>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</si>
  <si>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</si>
  <si>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</si>
  <si>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</si>
  <si>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</si>
  <si>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</si>
  <si>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</si>
  <si>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</si>
  <si>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</si>
  <si>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</si>
  <si>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</si>
  <si>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</si>
  <si>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</si>
  <si>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</si>
  <si>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</si>
  <si>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</si>
  <si>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</si>
  <si>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</si>
  <si>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</si>
  <si>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</si>
  <si>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</si>
  <si>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</si>
  <si>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</si>
  <si>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</si>
  <si>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</si>
  <si>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</si>
  <si>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</si>
  <si>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</si>
  <si>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</si>
  <si>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</si>
  <si>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</si>
  <si>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</si>
  <si>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</si>
  <si>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</si>
  <si>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</si>
  <si>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</si>
  <si>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</si>
  <si>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</si>
  <si>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</si>
  <si>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</si>
  <si>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</si>
  <si>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</si>
  <si>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</si>
  <si>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</si>
  <si>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</si>
  <si>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</si>
  <si>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</si>
  <si>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</si>
  <si>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</si>
  <si>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</si>
  <si>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</si>
  <si>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</si>
  <si>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</si>
  <si>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</si>
  <si>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</si>
  <si>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</si>
  <si>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</si>
  <si>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</si>
  <si>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</si>
  <si>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</si>
  <si>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</si>
  <si>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</si>
  <si>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</si>
  <si>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</si>
  <si>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</si>
  <si>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</si>
  <si>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</si>
  <si>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</si>
  <si>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</si>
  <si>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</si>
  <si>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</si>
  <si>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</si>
  <si>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</si>
  <si>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</si>
  <si>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</si>
  <si>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</si>
  <si>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</si>
  <si>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</si>
  <si>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</si>
  <si>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</si>
  <si>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</si>
  <si>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</si>
  <si>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</si>
  <si>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</si>
  <si>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</si>
  <si>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</si>
  <si>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</si>
  <si>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</si>
  <si>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</si>
  <si>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</si>
  <si>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</si>
  <si>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</si>
  <si>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</si>
  <si>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</si>
  <si>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</si>
  <si>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</si>
  <si>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</si>
  <si>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</si>
  <si>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</si>
  <si>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</si>
  <si>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</si>
  <si>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</si>
  <si>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</si>
  <si>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</si>
  <si>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</si>
  <si>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</si>
  <si>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</si>
  <si>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</si>
  <si>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</si>
  <si>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</si>
  <si>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</si>
  <si>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</si>
  <si>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</si>
  <si>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</si>
  <si>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</si>
  <si>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</si>
  <si>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</si>
  <si>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</si>
  <si>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</si>
  <si>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</si>
  <si>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</si>
  <si>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</si>
  <si>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</si>
  <si>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</si>
  <si>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</si>
  <si>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</si>
  <si>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</si>
  <si>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</si>
  <si>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</si>
  <si>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</si>
  <si>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</si>
  <si>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</si>
  <si>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</si>
  <si>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</si>
  <si>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</si>
  <si>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</si>
  <si>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</si>
  <si>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</si>
  <si>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</si>
  <si>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</si>
  <si>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</si>
  <si>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</si>
  <si>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</si>
  <si>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</si>
  <si>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</si>
  <si>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</si>
  <si>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</si>
  <si>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</si>
  <si>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</si>
  <si>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</si>
  <si>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</si>
  <si>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</si>
  <si>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</si>
  <si>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</si>
  <si>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</si>
  <si>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</si>
  <si>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</si>
  <si>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</si>
  <si>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</si>
  <si>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</si>
  <si>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</si>
  <si>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</si>
  <si>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</si>
  <si>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</si>
  <si>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</si>
  <si>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</si>
  <si>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</si>
  <si>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</si>
  <si>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</si>
  <si>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</si>
  <si>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</si>
  <si>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</si>
  <si>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</si>
  <si>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</si>
  <si>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</si>
  <si>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</si>
  <si>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</si>
  <si>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</si>
  <si>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</si>
  <si>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</si>
  <si>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</si>
  <si>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</si>
  <si>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</si>
  <si>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</si>
  <si>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</si>
  <si>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</si>
  <si>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</si>
  <si>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</si>
  <si>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</si>
  <si>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</si>
  <si>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</si>
  <si>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</si>
  <si>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</si>
  <si>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</si>
  <si>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</si>
  <si>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</si>
  <si>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</si>
  <si>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</si>
  <si>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</si>
  <si>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</si>
  <si>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</si>
  <si>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</si>
  <si>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</si>
  <si>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</si>
  <si>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</si>
  <si>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</si>
  <si>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</si>
  <si>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</si>
  <si>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</si>
  <si>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</si>
  <si>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</si>
  <si>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</si>
  <si>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</si>
  <si>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</si>
  <si>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</si>
  <si>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</si>
  <si>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</si>
  <si>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</si>
  <si>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</si>
  <si>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</si>
  <si>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</si>
  <si>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</si>
  <si>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</si>
  <si>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</si>
  <si>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</si>
  <si>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</si>
  <si>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</si>
  <si>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</si>
  <si>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</si>
  <si>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</si>
  <si>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</si>
  <si>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</si>
  <si>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</si>
  <si>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</si>
  <si>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</si>
  <si>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</si>
  <si>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</si>
  <si>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</si>
  <si>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</si>
  <si>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</si>
  <si>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</si>
  <si>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</si>
  <si>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</si>
  <si>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</si>
  <si>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</si>
  <si>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</si>
  <si>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</si>
  <si>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</si>
  <si>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</si>
  <si>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</si>
  <si>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</si>
  <si>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</si>
  <si>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</si>
  <si>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</si>
  <si>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</si>
  <si>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</si>
  <si>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</si>
  <si>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</si>
  <si>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</si>
  <si>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</si>
  <si>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</si>
  <si>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</si>
  <si>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</si>
  <si>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</si>
  <si>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</si>
  <si>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</si>
  <si>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</si>
  <si>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</si>
  <si>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</si>
  <si>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</si>
  <si>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</si>
  <si>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</si>
  <si>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</si>
  <si>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</si>
  <si>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</si>
  <si>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</si>
  <si>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</si>
  <si>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</si>
  <si>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</si>
  <si>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</si>
  <si>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</si>
  <si>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</si>
  <si>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</si>
  <si>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</si>
  <si>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</si>
  <si>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</si>
  <si>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</si>
  <si>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</si>
  <si>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</si>
  <si>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</si>
  <si>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</si>
  <si>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</si>
  <si>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</si>
  <si>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</si>
  <si>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</si>
  <si>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</si>
  <si>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</si>
  <si>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</si>
  <si>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</si>
  <si>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</si>
  <si>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</si>
  <si>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</si>
  <si>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</si>
  <si>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</si>
  <si>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</si>
  <si>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</si>
  <si>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</si>
  <si>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</si>
  <si>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</si>
  <si>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</si>
  <si>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</si>
  <si>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</si>
  <si>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</si>
  <si>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</si>
  <si>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</si>
  <si>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</si>
  <si>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</si>
  <si>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</si>
  <si>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</si>
  <si>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</si>
  <si>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</si>
  <si>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</si>
  <si>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</si>
  <si>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</si>
  <si>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</si>
  <si>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</si>
  <si>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</si>
  <si>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</si>
  <si>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</si>
  <si>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</si>
  <si>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</si>
  <si>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</si>
  <si>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</si>
  <si>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</si>
  <si>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</si>
  <si>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</si>
  <si>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</si>
  <si>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</si>
  <si>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</si>
  <si>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</si>
  <si>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</si>
  <si>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</si>
  <si>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</si>
  <si>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</si>
  <si>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</si>
  <si>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</si>
  <si>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</si>
  <si>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</si>
  <si>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</si>
  <si>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</si>
  <si>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</si>
  <si>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</si>
  <si>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</si>
  <si>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</si>
  <si>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</si>
  <si>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</si>
  <si>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</si>
  <si>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</si>
  <si>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</si>
  <si>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</si>
  <si>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</si>
  <si>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</si>
  <si>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</si>
  <si>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</si>
  <si>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</si>
  <si>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</si>
  <si>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</si>
  <si>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</si>
  <si>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</si>
  <si>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</si>
  <si>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</si>
  <si>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</si>
  <si>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</si>
  <si>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</si>
  <si>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</si>
  <si>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</si>
  <si>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</si>
  <si>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</si>
  <si>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</si>
  <si>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</si>
  <si>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</si>
  <si>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</si>
  <si>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</si>
  <si>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</si>
  <si>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</si>
  <si>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</si>
  <si>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</si>
  <si>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</si>
  <si>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</si>
  <si>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</si>
  <si>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</si>
  <si>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</si>
  <si>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</si>
  <si>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</si>
  <si>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</si>
  <si>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</si>
  <si>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</si>
  <si>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</si>
  <si>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</si>
  <si>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</si>
  <si>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</si>
  <si>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</si>
  <si>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</si>
  <si>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</si>
  <si>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</si>
  <si>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</si>
  <si>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</si>
  <si>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</si>
  <si>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</si>
  <si>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</si>
  <si>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</si>
  <si>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</si>
  <si>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</si>
  <si>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</si>
  <si>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</si>
  <si>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</si>
  <si>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</si>
  <si>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</si>
  <si>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</si>
  <si>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</si>
  <si>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</si>
  <si>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</si>
  <si>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</si>
  <si>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</si>
  <si>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</si>
  <si>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</si>
  <si>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</si>
  <si>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</si>
  <si>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</si>
  <si>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</si>
  <si>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</si>
  <si>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</si>
  <si>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</si>
  <si>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</si>
  <si>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</si>
  <si>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</si>
  <si>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</si>
  <si>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</si>
  <si>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</si>
  <si>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</si>
  <si>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</si>
  <si>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</si>
  <si>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</si>
  <si>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</si>
  <si>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</si>
  <si>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</si>
  <si>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</si>
  <si>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</si>
  <si>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</si>
  <si>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</si>
  <si>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</si>
  <si>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</si>
  <si>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</si>
  <si>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</si>
  <si>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</si>
  <si>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</si>
  <si>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</si>
  <si>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</si>
  <si>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</si>
  <si>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</si>
  <si>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</si>
  <si>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</si>
  <si>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</si>
  <si>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</si>
  <si>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</si>
  <si>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</si>
  <si>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</si>
  <si>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</si>
  <si>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</si>
  <si>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</si>
  <si>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</si>
  <si>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</si>
  <si>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</si>
  <si>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</si>
  <si>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</si>
  <si>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</si>
  <si>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</si>
  <si>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</si>
  <si>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</si>
  <si>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</si>
  <si>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</si>
  <si>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</si>
  <si>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</si>
  <si>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</si>
  <si>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</si>
  <si>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</si>
  <si>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</si>
  <si>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</si>
  <si>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</si>
  <si>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</si>
  <si>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</si>
  <si>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</si>
  <si>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</si>
  <si>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</si>
  <si>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</si>
  <si>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</si>
  <si>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</si>
  <si>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</si>
  <si>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</si>
  <si>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</si>
  <si>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</si>
  <si>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</si>
  <si>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</si>
  <si>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</si>
  <si>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</si>
  <si>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</si>
  <si>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</si>
  <si>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</si>
  <si>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</si>
  <si>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</si>
  <si>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</si>
  <si>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</si>
  <si>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</si>
  <si>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</si>
  <si>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</si>
  <si>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</si>
  <si>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</si>
  <si>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</si>
  <si>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</si>
  <si>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</si>
  <si>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</si>
  <si>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</si>
  <si>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</si>
  <si>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</si>
  <si>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</si>
  <si>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</si>
  <si>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</si>
  <si>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</si>
  <si>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</si>
  <si>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</si>
  <si>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</si>
  <si>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</si>
  <si>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</si>
  <si>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</si>
  <si>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</si>
  <si>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</si>
  <si>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</si>
  <si>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</si>
  <si>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</si>
  <si>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</si>
  <si>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</si>
  <si>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</si>
  <si>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</si>
  <si>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</si>
  <si>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</si>
  <si>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</si>
  <si>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</si>
  <si>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</si>
  <si>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</si>
  <si>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</si>
  <si>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</si>
  <si>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</si>
  <si>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</si>
  <si>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</si>
  <si>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</si>
  <si>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</si>
  <si>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</si>
  <si>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</si>
  <si>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</si>
  <si>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</si>
  <si>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</si>
  <si>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</si>
  <si>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</si>
  <si>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</si>
  <si>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</si>
  <si>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</si>
  <si>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</si>
  <si>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</si>
  <si>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</si>
  <si>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</si>
  <si>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</si>
  <si>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</si>
  <si>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</si>
  <si>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</si>
  <si>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</si>
  <si>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</si>
  <si>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</si>
  <si>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</si>
  <si>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</si>
  <si>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</si>
  <si>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</si>
  <si>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</si>
  <si>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</si>
  <si>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</si>
  <si>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</si>
  <si>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</si>
  <si>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</si>
  <si>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</si>
  <si>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</si>
  <si>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</si>
  <si>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</si>
  <si>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</si>
  <si>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</si>
  <si>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</si>
  <si>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</si>
  <si>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</si>
  <si>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</si>
  <si>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</si>
  <si>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</si>
  <si>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</si>
  <si>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</si>
  <si>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</si>
  <si>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</si>
  <si>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</si>
  <si>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</si>
  <si>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</si>
  <si>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</si>
  <si>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</si>
  <si>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</si>
  <si>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</si>
  <si>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</si>
  <si>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</si>
  <si>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</si>
  <si>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</si>
  <si>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</si>
  <si>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</si>
  <si>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</si>
  <si>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</si>
  <si>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</si>
  <si>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</si>
  <si>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</si>
  <si>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</si>
  <si>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</si>
  <si>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</si>
  <si>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</si>
  <si>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</si>
  <si>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</si>
  <si>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</si>
  <si>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</si>
  <si>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</si>
  <si>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</si>
  <si>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</si>
  <si>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</si>
  <si>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</si>
  <si>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</si>
  <si>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</si>
  <si>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</si>
  <si>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</si>
  <si>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</si>
  <si>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</si>
  <si>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</si>
  <si>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</si>
  <si>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</si>
  <si>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</si>
  <si>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</si>
  <si>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</si>
  <si>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</si>
  <si>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</si>
  <si>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</si>
  <si>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</si>
  <si>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</si>
  <si>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</si>
  <si>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</si>
  <si>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</si>
  <si>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</si>
  <si>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</si>
  <si>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</si>
  <si>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</si>
  <si>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</si>
  <si>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</si>
  <si>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</si>
  <si>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</si>
  <si>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</si>
  <si>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</si>
  <si>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</si>
  <si>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</si>
  <si>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</si>
  <si>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</si>
  <si>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</si>
  <si>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</si>
  <si>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</si>
  <si>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</si>
  <si>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</si>
  <si>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</si>
  <si>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</si>
  <si>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</si>
  <si>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</si>
  <si>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</si>
  <si>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</si>
  <si>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</si>
  <si>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</si>
  <si>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</si>
  <si>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</si>
  <si>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</si>
  <si>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</si>
  <si>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</si>
  <si>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</si>
  <si>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</si>
  <si>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</si>
  <si>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</si>
  <si>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</si>
  <si>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</si>
  <si>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</si>
  <si>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</si>
  <si>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</si>
  <si>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</si>
  <si>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</si>
  <si>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</si>
  <si>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</si>
  <si>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</si>
  <si>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</si>
  <si>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</si>
  <si>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</si>
  <si>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</si>
  <si>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</si>
  <si>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</si>
  <si>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</si>
  <si>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</si>
  <si>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</si>
  <si>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</si>
  <si>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</si>
  <si>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</si>
  <si>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</si>
  <si>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</si>
  <si>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</si>
  <si>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</si>
  <si>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</si>
  <si>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</si>
  <si>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</si>
  <si>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</si>
  <si>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</si>
  <si>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</si>
  <si>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</si>
  <si>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</si>
  <si>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</si>
  <si>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</si>
  <si>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</si>
  <si>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</si>
  <si>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</si>
  <si>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</si>
  <si>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</si>
  <si>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</si>
  <si>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</si>
  <si>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</si>
  <si>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</si>
  <si>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</si>
  <si>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</si>
  <si>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</si>
  <si>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</si>
  <si>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</si>
  <si>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</si>
  <si>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</si>
  <si>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</si>
  <si>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</si>
  <si>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</si>
  <si>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</si>
  <si>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</si>
  <si>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</si>
  <si>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</si>
  <si>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</si>
  <si>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</si>
  <si>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</si>
  <si>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</si>
  <si>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</si>
  <si>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</si>
  <si>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</si>
  <si>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</si>
  <si>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</si>
  <si>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</si>
  <si>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</si>
  <si>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</si>
  <si>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</si>
  <si>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</si>
  <si>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</si>
  <si>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</si>
  <si>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</si>
  <si>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</si>
  <si>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</si>
  <si>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</si>
  <si>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</si>
  <si>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</si>
  <si>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</si>
  <si>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</si>
  <si>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</si>
  <si>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</si>
  <si>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</si>
  <si>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</si>
  <si>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</si>
  <si>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</si>
  <si>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</si>
  <si>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</si>
  <si>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</si>
  <si>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</si>
  <si>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</si>
  <si>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</si>
  <si>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</si>
  <si>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</si>
  <si>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</si>
  <si>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</si>
  <si>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</si>
  <si>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</si>
  <si>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</si>
  <si>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</si>
  <si>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</si>
  <si>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</si>
  <si>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</si>
  <si>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</si>
  <si>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</si>
  <si>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</si>
  <si>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</si>
  <si>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</si>
  <si>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</si>
  <si>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</si>
  <si>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</si>
  <si>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</si>
  <si>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</si>
  <si>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</si>
  <si>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</si>
  <si>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</si>
  <si>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</si>
  <si>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</si>
  <si>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</si>
  <si>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</si>
  <si>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</si>
  <si>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</si>
  <si>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</si>
  <si>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</si>
  <si>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</si>
  <si>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</si>
  <si>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</si>
  <si>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</si>
  <si>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</si>
  <si>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</si>
  <si>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</si>
  <si>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</si>
  <si>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</si>
  <si>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</si>
  <si>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</si>
  <si>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</si>
  <si>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</si>
  <si>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</si>
  <si>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</si>
  <si>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</si>
  <si>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</si>
  <si>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</si>
  <si>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</si>
  <si>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</si>
  <si>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</si>
  <si>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</si>
  <si>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</si>
  <si>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</si>
  <si>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</si>
  <si>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</si>
  <si>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</si>
  <si>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</si>
  <si>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</si>
  <si>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</si>
  <si>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</si>
  <si>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</si>
  <si>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</si>
  <si>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</si>
  <si>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</si>
  <si>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</si>
  <si>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</si>
  <si>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</si>
  <si>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</si>
  <si>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</si>
  <si>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</si>
  <si>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</si>
  <si>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</si>
  <si>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</si>
  <si>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</si>
  <si>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</si>
  <si>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</si>
  <si>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</si>
  <si>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</si>
  <si>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</si>
  <si>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</si>
  <si>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</si>
  <si>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</si>
  <si>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</si>
  <si>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</si>
  <si>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</si>
  <si>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</si>
  <si>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</si>
  <si>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</si>
  <si>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</si>
  <si>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</si>
  <si>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</si>
  <si>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</si>
  <si>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</si>
  <si>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</si>
  <si>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</si>
  <si>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</si>
  <si>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</si>
  <si>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</si>
  <si>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</si>
  <si>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</si>
  <si>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</si>
  <si>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</si>
  <si>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</si>
  <si>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</si>
  <si>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</si>
  <si>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</si>
  <si>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</si>
  <si>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</si>
  <si>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</si>
  <si>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</si>
  <si>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</si>
  <si>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</si>
  <si>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</si>
  <si>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</si>
  <si>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</si>
  <si>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</si>
  <si>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</si>
  <si>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</si>
  <si>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</si>
  <si>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</si>
  <si>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</si>
  <si>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</si>
  <si>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</si>
  <si>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</si>
  <si>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</si>
  <si>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</si>
  <si>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</si>
  <si>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</si>
  <si>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</si>
  <si>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</si>
  <si>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</si>
  <si>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</si>
  <si>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</si>
  <si>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</si>
  <si>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</si>
  <si>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</si>
  <si>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</si>
  <si>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</si>
  <si>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</si>
  <si>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</si>
  <si>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</si>
  <si>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</si>
  <si>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</si>
  <si>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</si>
  <si>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</si>
  <si>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</si>
  <si>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</si>
  <si>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</si>
  <si>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</si>
  <si>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</si>
  <si>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</si>
  <si>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</si>
  <si>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</si>
  <si>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</si>
  <si>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</si>
  <si>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</si>
  <si>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</si>
  <si>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</si>
  <si>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</si>
  <si>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</si>
  <si>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</si>
  <si>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</si>
  <si>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</si>
  <si>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</si>
  <si>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</si>
  <si>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</si>
  <si>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</si>
  <si>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</si>
  <si>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</si>
  <si>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</si>
  <si>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</si>
  <si>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</si>
  <si>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</si>
  <si>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</si>
  <si>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</si>
  <si>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</si>
  <si>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</si>
  <si>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</si>
  <si>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</si>
  <si>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</si>
  <si>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</si>
  <si>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</si>
  <si>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</si>
  <si>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</si>
  <si>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</si>
  <si>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</si>
  <si>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</si>
  <si>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</si>
  <si>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</si>
  <si>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</si>
  <si>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</si>
  <si>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</si>
  <si>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</si>
  <si>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</si>
  <si>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</si>
  <si>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</si>
  <si>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</si>
  <si>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</si>
  <si>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</si>
  <si>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</si>
  <si>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</si>
  <si>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</si>
  <si>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</si>
  <si>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</si>
  <si>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</si>
  <si>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</si>
  <si>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</si>
  <si>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</si>
  <si>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</si>
  <si>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</si>
  <si>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</si>
  <si>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</si>
  <si>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</si>
  <si>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</si>
  <si>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</si>
  <si>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</si>
  <si>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</si>
  <si>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</si>
  <si>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</si>
  <si>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</si>
  <si>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</si>
  <si>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</si>
  <si>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</si>
  <si>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</si>
  <si>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</si>
  <si>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</si>
  <si>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估价对象周边商业氛围成熟度一般，人流量一般，住宅底商为主，商业繁华度一般</t>
    <phoneticPr fontId="3"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</si>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</sst>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9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4" fontId="74" fillId="0" borderId="2" xfId="0" applyNumberFormat="1" applyFont="1" applyFill="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Fill="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0" fontId="141" fillId="0" borderId="0" xfId="1" applyFont="1" applyAlignment="1"/>
    <xf numFmtId="1" fontId="141" fillId="0" borderId="0" xfId="1" applyNumberFormat="1">
      <alignment vertical="center"/>
    </xf>
    <xf numFmtId="0" fontId="141" fillId="0" borderId="0" xfId="1" applyFont="1">
      <alignment vertical="center"/>
    </xf>
    <xf numFmtId="0" fontId="67" fillId="5" borderId="42" xfId="0" applyNumberFormat="1"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NumberFormat="1" applyFont="1" applyFill="1" applyBorder="1" applyAlignment="1" applyProtection="1">
      <alignment horizontal="center" vertical="center" wrapText="1"/>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江苏省连云港海州区锦屏山东南侧4号地出让国有建设用地使用权预评估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受贵公司委托，我公司对江苏省连云港海州区锦屏山东南侧4号地出让国有建设用地使用权进行了预评估。</v>
      </c>
      <c r="AM6" s="2382"/>
    </row>
    <row r="7" spans="1:55" s="2356" customFormat="1">
      <c r="A7" s="2357" t="s">
        <v>1939</v>
      </c>
      <c r="B7" s="2358" t="str">
        <f>'预评函-1'!A6</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2023年1月3日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根据《国有土地使用证》[]，估价对象（分摊）出让国有建设用地使用权面积为85225.54平方米。根据《建设工程规划许可证》[]、《出让合同》[]，估价对象规划建筑面积为294028.11平方米。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10月13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估价期日：2023年1月3日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85225.54</v>
      </c>
    </row>
    <row r="44" spans="1:2">
      <c r="A44" s="2357" t="s">
        <v>2022</v>
      </c>
      <c r="B44" s="2358" t="str">
        <f>'预评函-2'!O3</f>
        <v>规划建筑面积/㎡</v>
      </c>
    </row>
    <row r="45" spans="1:2">
      <c r="A45" s="2357" t="s">
        <v>2004</v>
      </c>
      <c r="B45" s="2358">
        <f>'预评函-2'!O5</f>
        <v>294028.11</v>
      </c>
    </row>
    <row r="46" spans="1:2">
      <c r="A46" s="2357" t="s">
        <v>2005</v>
      </c>
      <c r="B46" s="2358">
        <f ca="1">'预评函-2'!P5</f>
        <v>5406</v>
      </c>
    </row>
    <row r="47" spans="1:2">
      <c r="A47" s="2357" t="s">
        <v>2006</v>
      </c>
      <c r="B47" s="2358">
        <f ca="1">'预评函-2'!Q5</f>
        <v>1567</v>
      </c>
    </row>
    <row r="48" spans="1:2">
      <c r="A48" s="2357" t="s">
        <v>2007</v>
      </c>
      <c r="B48" s="2358">
        <f ca="1">'预评函-2'!R5</f>
        <v>46076</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6"/>
  </cols>
  <sheetData>
    <row r="1" spans="1:6">
      <c r="A1" s="3283" t="s">
        <v>2673</v>
      </c>
      <c r="B1" s="3284"/>
      <c r="C1" s="3284"/>
      <c r="D1" s="3284"/>
      <c r="E1" s="3284"/>
      <c r="F1" s="3285"/>
    </row>
    <row r="2" spans="1:6">
      <c r="A2" s="3287"/>
      <c r="B2" s="3288"/>
      <c r="C2" s="3288"/>
      <c r="D2" s="3288"/>
      <c r="E2" s="3288"/>
      <c r="F2" s="3289"/>
    </row>
    <row r="3" spans="1:6">
      <c r="A3" s="3290" t="s">
        <v>2674</v>
      </c>
      <c r="B3" s="3291">
        <f>项目基本情况!D3</f>
        <v>44929</v>
      </c>
      <c r="C3" s="3292"/>
      <c r="D3" s="3292"/>
      <c r="E3" s="3292"/>
      <c r="F3" s="3289"/>
    </row>
    <row r="4" spans="1:6">
      <c r="A4" s="3290" t="s">
        <v>2675</v>
      </c>
      <c r="B4" s="3293" t="s">
        <v>2676</v>
      </c>
      <c r="C4" s="3293" t="s">
        <v>2677</v>
      </c>
      <c r="D4" s="3293" t="s">
        <v>2678</v>
      </c>
      <c r="E4" s="3293" t="s">
        <v>2679</v>
      </c>
      <c r="F4" s="3289"/>
    </row>
    <row r="5" spans="1:6">
      <c r="A5" s="3294"/>
      <c r="B5" s="3291"/>
      <c r="C5" s="3293">
        <f>ROUNDDOWN(MIN((B5-B3)/365,A5),2)</f>
        <v>-123.09</v>
      </c>
      <c r="D5" s="3295">
        <f>IF(ISERROR(ROUND(POWER(1+E5,A5-C5)*(POWER(1+E5,C5)-1)/(POWER(1+E5,A5)-1),3)),0,ROUND(POWER(1+E5,A5-C5)*(POWER(1+E5,C5)-1)/(POWER(1+E5,A5)-1),4))</f>
        <v>0</v>
      </c>
      <c r="E5" s="3296"/>
      <c r="F5" s="3289"/>
    </row>
    <row r="6" spans="1:6">
      <c r="A6" s="3294"/>
      <c r="B6" s="3291"/>
      <c r="C6" s="3293">
        <f>ROUNDDOWN(MIN((B6-B3)/365,A6),2)</f>
        <v>-123.09</v>
      </c>
      <c r="D6" s="3295">
        <f>IF(ISERROR(ROUND(POWER(1+E6,A6-C6)*(POWER(1+E6,C6)-1)/(POWER(1+E6,A6)-1),3)),0,ROUND(POWER(1+E6,A6-C6)*(POWER(1+E6,C6)-1)/(POWER(1+E6,A6)-1),4))</f>
        <v>0</v>
      </c>
      <c r="E6" s="3296"/>
      <c r="F6" s="3289"/>
    </row>
    <row r="7" spans="1:6">
      <c r="A7" s="3294"/>
      <c r="B7" s="3291"/>
      <c r="C7" s="3293">
        <f>ROUNDDOWN(MIN((B7-B3)/365,A7),2)</f>
        <v>-123.09</v>
      </c>
      <c r="D7" s="3295">
        <f>IF(ISERROR(ROUND(POWER(1+E7,A7-C7)*(POWER(1+E7,C7)-1)/(POWER(1+E7,A7)-1),3)),0,ROUND(POWER(1+E7,A7-C7)*(POWER(1+E7,C7)-1)/(POWER(1+E7,A7)-1),4))</f>
        <v>0</v>
      </c>
      <c r="E7" s="3296"/>
      <c r="F7" s="3289"/>
    </row>
    <row r="8" spans="1:6">
      <c r="A8" s="3287"/>
      <c r="B8" s="3288"/>
      <c r="C8" s="3288"/>
      <c r="D8" s="3288"/>
      <c r="E8" s="3288"/>
      <c r="F8" s="3289"/>
    </row>
    <row r="9" spans="1:6">
      <c r="A9" s="3290" t="s">
        <v>2680</v>
      </c>
      <c r="B9" s="3293"/>
      <c r="C9" s="3293"/>
      <c r="D9" s="3293"/>
      <c r="E9" s="3293"/>
      <c r="F9" s="3297"/>
    </row>
    <row r="10" spans="1:6">
      <c r="A10" s="3290" t="s">
        <v>2681</v>
      </c>
      <c r="B10" s="3293"/>
      <c r="C10" s="3293"/>
      <c r="D10" s="3293" t="s">
        <v>2679</v>
      </c>
      <c r="E10" s="3293"/>
      <c r="F10" s="3297" t="s">
        <v>2678</v>
      </c>
    </row>
    <row r="11" spans="1:6">
      <c r="A11" s="3290" t="s">
        <v>2682</v>
      </c>
      <c r="B11" s="3298"/>
      <c r="C11" s="3293" t="s">
        <v>2683</v>
      </c>
      <c r="D11" s="3299"/>
      <c r="E11" s="3293" t="s">
        <v>2684</v>
      </c>
      <c r="F11" s="3300">
        <f>ROUND(1-(1/(POWER(1+D11,B11))),4)</f>
        <v>0</v>
      </c>
    </row>
    <row r="12" spans="1:6">
      <c r="A12" s="3290" t="s">
        <v>2685</v>
      </c>
      <c r="B12" s="3298"/>
      <c r="C12" s="3293" t="s">
        <v>2686</v>
      </c>
      <c r="D12" s="3299"/>
      <c r="E12" s="3293" t="s">
        <v>2687</v>
      </c>
      <c r="F12" s="3300">
        <f>ROUND(1-(1/(POWER(1+D12,B12))),4)</f>
        <v>0</v>
      </c>
    </row>
    <row r="13" spans="1:6">
      <c r="A13" s="3290" t="s">
        <v>2688</v>
      </c>
      <c r="B13" s="3293"/>
      <c r="C13" s="3292"/>
      <c r="D13" s="3288"/>
      <c r="E13" s="3288"/>
      <c r="F13" s="3289"/>
    </row>
    <row r="14" spans="1:6">
      <c r="A14" s="3290" t="s">
        <v>2689</v>
      </c>
      <c r="B14" s="3298"/>
      <c r="C14" s="3292"/>
      <c r="D14" s="3288"/>
      <c r="E14" s="3288"/>
      <c r="F14" s="3289"/>
    </row>
    <row r="15" spans="1:6">
      <c r="A15" s="3290" t="s">
        <v>2690</v>
      </c>
      <c r="B15" s="3293" t="e">
        <f>ROUND(B14*F12/F11,2)</f>
        <v>#DIV/0!</v>
      </c>
      <c r="C15" s="3293" t="e">
        <f>ROUND(F12/F11,4)</f>
        <v>#DIV/0!</v>
      </c>
      <c r="D15" s="3288"/>
      <c r="E15" s="3288"/>
      <c r="F15" s="3289"/>
    </row>
    <row r="16" spans="1:6">
      <c r="A16" s="3290" t="s">
        <v>2691</v>
      </c>
      <c r="B16" s="3293"/>
      <c r="C16" s="3292"/>
      <c r="D16" s="3288"/>
      <c r="E16" s="3288"/>
      <c r="F16" s="3289"/>
    </row>
    <row r="17" spans="1:7">
      <c r="A17" s="3290" t="s">
        <v>2690</v>
      </c>
      <c r="B17" s="3299"/>
      <c r="C17" s="3292"/>
      <c r="D17" s="3288"/>
      <c r="E17" s="3288"/>
      <c r="F17" s="3289"/>
    </row>
    <row r="18" spans="1:7" ht="14.25" thickBot="1">
      <c r="A18" s="3301" t="s">
        <v>2689</v>
      </c>
      <c r="B18" s="3302" t="e">
        <f>ROUND(B17*F11/F12,2)</f>
        <v>#DIV/0!</v>
      </c>
      <c r="C18" s="3302" t="e">
        <f>ROUND(F11/F12,4)</f>
        <v>#DIV/0!</v>
      </c>
      <c r="D18" s="3303"/>
      <c r="E18" s="3303"/>
      <c r="F18" s="3304"/>
    </row>
    <row r="19" spans="1:7" ht="14.25" thickBot="1"/>
    <row r="20" spans="1:7">
      <c r="A20" s="3305" t="s">
        <v>2692</v>
      </c>
      <c r="B20" s="3306"/>
      <c r="C20" s="3306"/>
      <c r="D20" s="3306"/>
      <c r="E20" s="3306"/>
      <c r="F20" s="3306"/>
      <c r="G20" s="3307"/>
    </row>
    <row r="21" spans="1:7">
      <c r="A21" s="3308"/>
      <c r="B21" s="3309" t="s">
        <v>2693</v>
      </c>
      <c r="C21" s="3309" t="s">
        <v>2694</v>
      </c>
      <c r="D21" s="3309" t="s">
        <v>2695</v>
      </c>
      <c r="E21" s="3309" t="s">
        <v>2696</v>
      </c>
      <c r="F21" s="3309" t="s">
        <v>2697</v>
      </c>
      <c r="G21" s="3310" t="s">
        <v>2698</v>
      </c>
    </row>
    <row r="22" spans="1:7">
      <c r="A22" s="3308" t="s">
        <v>2699</v>
      </c>
      <c r="B22" s="3311">
        <v>50</v>
      </c>
      <c r="C22" s="3311">
        <v>32</v>
      </c>
      <c r="D22" s="3312">
        <v>0.05</v>
      </c>
      <c r="E22" s="3309">
        <f>ROUND(POWER(1+D22,B22-C22)*(POWER(1+D22,C22)-1)/(POWER(1+D22,B22)-1),3)</f>
        <v>0.86599999999999999</v>
      </c>
      <c r="F22" s="3312">
        <v>0.6</v>
      </c>
      <c r="G22" s="3310">
        <f>ROUND(100*(1-(1-E22)*F22),1)</f>
        <v>92</v>
      </c>
    </row>
    <row r="23" spans="1:7">
      <c r="A23" s="3313" t="s">
        <v>2700</v>
      </c>
      <c r="B23" s="3311">
        <v>50</v>
      </c>
      <c r="C23" s="3311">
        <v>35</v>
      </c>
      <c r="D23" s="3312">
        <v>0.05</v>
      </c>
      <c r="E23" s="3309">
        <f>ROUND(POWER(1+D23,B23-C23)*(POWER(1+D23,C23)-1)/(POWER(1+D23,B23)-1),3)</f>
        <v>0.89700000000000002</v>
      </c>
      <c r="F23" s="3312">
        <f>F22</f>
        <v>0.6</v>
      </c>
      <c r="G23" s="3310">
        <f>ROUND(100*(1-(1-E23)*F23),1)</f>
        <v>93.8</v>
      </c>
    </row>
    <row r="24" spans="1:7">
      <c r="A24" s="3313" t="s">
        <v>2701</v>
      </c>
      <c r="B24" s="3311">
        <v>50</v>
      </c>
      <c r="C24" s="3311">
        <v>25</v>
      </c>
      <c r="D24" s="3312">
        <v>0.05</v>
      </c>
      <c r="E24" s="3309">
        <f>ROUND(POWER(1+D24,B24-C24)*(POWER(1+D24,C24)-1)/(POWER(1+D24,B24)-1),3)</f>
        <v>0.77200000000000002</v>
      </c>
      <c r="F24" s="3312">
        <f>F23</f>
        <v>0.6</v>
      </c>
      <c r="G24" s="3310">
        <f>ROUND(100*(1-(1-E24)*F24),1)</f>
        <v>86.3</v>
      </c>
    </row>
    <row r="25" spans="1:7">
      <c r="A25" s="3313" t="s">
        <v>2702</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2703</v>
      </c>
      <c r="B27" s="3318"/>
      <c r="C27" s="3318"/>
      <c r="D27" s="3318"/>
      <c r="E27" s="3318"/>
      <c r="F27" s="3318"/>
      <c r="G27" s="3319"/>
    </row>
    <row r="28" spans="1:7">
      <c r="A28" s="3317" t="s">
        <v>2704</v>
      </c>
      <c r="B28" s="3318"/>
      <c r="C28" s="3318"/>
      <c r="D28" s="3318"/>
      <c r="E28" s="3318"/>
      <c r="F28" s="3318"/>
      <c r="G28" s="3319"/>
    </row>
    <row r="29" spans="1:7">
      <c r="A29" s="3317" t="s">
        <v>2705</v>
      </c>
      <c r="B29" s="3318"/>
      <c r="C29" s="3318"/>
      <c r="D29" s="3318"/>
      <c r="E29" s="3318"/>
      <c r="F29" s="3318"/>
      <c r="G29" s="3319"/>
    </row>
    <row r="30" spans="1:7">
      <c r="A30" s="3317" t="s">
        <v>2706</v>
      </c>
      <c r="B30" s="3318"/>
      <c r="C30" s="3318"/>
      <c r="D30" s="3318"/>
      <c r="E30" s="3318"/>
      <c r="F30" s="3318"/>
      <c r="G30" s="3319"/>
    </row>
    <row r="31" spans="1:7">
      <c r="A31" s="3317" t="s">
        <v>2707</v>
      </c>
      <c r="B31" s="3318"/>
      <c r="C31" s="3318"/>
      <c r="D31" s="3318"/>
      <c r="E31" s="3318"/>
      <c r="F31" s="3318"/>
      <c r="G31" s="3319"/>
    </row>
    <row r="32" spans="1:7">
      <c r="A32" s="3317" t="s">
        <v>2708</v>
      </c>
      <c r="B32" s="3318"/>
      <c r="C32" s="3318"/>
      <c r="D32" s="3318"/>
      <c r="E32" s="3318"/>
      <c r="F32" s="3318"/>
      <c r="G32" s="3319"/>
    </row>
    <row r="33" spans="1:7">
      <c r="A33" s="3317" t="s">
        <v>2709</v>
      </c>
      <c r="B33" s="3318"/>
      <c r="C33" s="3318"/>
      <c r="D33" s="3318"/>
      <c r="E33" s="3318"/>
      <c r="F33" s="3318"/>
      <c r="G33" s="3319"/>
    </row>
    <row r="34" spans="1:7">
      <c r="A34" s="3317" t="s">
        <v>2710</v>
      </c>
      <c r="B34" s="3318"/>
      <c r="C34" s="3318"/>
      <c r="D34" s="3318"/>
      <c r="E34" s="3318"/>
      <c r="F34" s="3318"/>
      <c r="G34" s="3319"/>
    </row>
    <row r="35" spans="1:7">
      <c r="A35" s="3317" t="s">
        <v>2711</v>
      </c>
      <c r="B35" s="3318"/>
      <c r="C35" s="3318"/>
      <c r="D35" s="3318"/>
      <c r="E35" s="3318"/>
      <c r="F35" s="3318"/>
      <c r="G35" s="3319"/>
    </row>
    <row r="36" spans="1:7">
      <c r="A36" s="3317" t="s">
        <v>2712</v>
      </c>
      <c r="B36" s="3318"/>
      <c r="C36" s="3318"/>
      <c r="D36" s="3318"/>
      <c r="E36" s="3318"/>
      <c r="F36" s="3318"/>
      <c r="G36" s="3319"/>
    </row>
    <row r="37" spans="1:7">
      <c r="A37" s="3317" t="s">
        <v>2713</v>
      </c>
      <c r="B37" s="3318"/>
      <c r="C37" s="3318"/>
      <c r="D37" s="3318"/>
      <c r="E37" s="3318"/>
      <c r="F37" s="3318"/>
      <c r="G37" s="3319"/>
    </row>
    <row r="38" spans="1:7">
      <c r="A38" s="3317" t="s">
        <v>2714</v>
      </c>
      <c r="B38" s="3318"/>
      <c r="C38" s="3318"/>
      <c r="D38" s="3318"/>
      <c r="E38" s="3318"/>
      <c r="F38" s="3318"/>
      <c r="G38" s="3319"/>
    </row>
    <row r="39" spans="1:7">
      <c r="A39" s="3317"/>
      <c r="B39" s="3318"/>
      <c r="C39" s="3318"/>
      <c r="D39" s="3318"/>
      <c r="E39" s="3318"/>
      <c r="F39" s="3318"/>
      <c r="G39" s="3319"/>
    </row>
    <row r="40" spans="1:7">
      <c r="A40" s="3320" t="s">
        <v>2715</v>
      </c>
      <c r="B40" s="3321"/>
      <c r="C40" s="3321"/>
      <c r="D40" s="3321"/>
      <c r="E40" s="3321"/>
      <c r="F40" s="3321"/>
      <c r="G40" s="3322"/>
    </row>
    <row r="41" spans="1:7">
      <c r="A41" s="3323" t="s">
        <v>2716</v>
      </c>
      <c r="B41" s="3324" t="s">
        <v>2717</v>
      </c>
      <c r="C41" s="3325" t="s">
        <v>2718</v>
      </c>
      <c r="D41" s="3325" t="s">
        <v>2719</v>
      </c>
      <c r="E41" s="3326"/>
      <c r="F41" s="3327"/>
      <c r="G41" s="3328"/>
    </row>
    <row r="42" spans="1:7">
      <c r="A42" s="3323" t="s">
        <v>2720</v>
      </c>
      <c r="B42" s="3324" t="s">
        <v>2721</v>
      </c>
      <c r="C42" s="3325" t="s">
        <v>2721</v>
      </c>
      <c r="D42" s="3329" t="s">
        <v>2722</v>
      </c>
      <c r="E42" s="3321" t="s">
        <v>2723</v>
      </c>
      <c r="F42" s="3321"/>
      <c r="G42" s="3322"/>
    </row>
    <row r="43" spans="1:7">
      <c r="A43" s="3323" t="s">
        <v>2724</v>
      </c>
      <c r="B43" s="3324" t="s">
        <v>2725</v>
      </c>
      <c r="C43" s="3325" t="s">
        <v>2726</v>
      </c>
      <c r="D43" s="3325" t="s">
        <v>2727</v>
      </c>
      <c r="E43" s="3326" t="s">
        <v>2728</v>
      </c>
      <c r="F43" s="3327"/>
      <c r="G43" s="3328"/>
    </row>
    <row r="44" spans="1:7">
      <c r="A44" s="3323" t="s">
        <v>2729</v>
      </c>
      <c r="B44" s="3324" t="s">
        <v>2730</v>
      </c>
      <c r="C44" s="3325" t="s">
        <v>2731</v>
      </c>
      <c r="D44" s="3329">
        <v>0.5</v>
      </c>
      <c r="E44" s="3326" t="s">
        <v>2732</v>
      </c>
      <c r="F44" s="3327"/>
      <c r="G44" s="3328"/>
    </row>
    <row r="45" spans="1:7" ht="14.25" thickBot="1">
      <c r="A45" s="3330" t="s">
        <v>2733</v>
      </c>
      <c r="B45" s="3331" t="s">
        <v>2721</v>
      </c>
      <c r="C45" s="3332" t="s">
        <v>2721</v>
      </c>
      <c r="D45" s="3332" t="s">
        <v>2734</v>
      </c>
      <c r="E45" s="3333" t="s">
        <v>2735</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10" sqref="F1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5" t="str">
        <f>IF(B10="北京市","北京市",C10)&amp;F10&amp;A17&amp;"国有建设用地使用权"&amp;B9&amp;"预评估"</f>
        <v>江苏省连云港海州区锦屏山东南侧4号地出让国有建设用地使用权预评估</v>
      </c>
      <c r="C1" s="3696"/>
      <c r="D1" s="3696"/>
      <c r="E1" s="3696"/>
      <c r="F1" s="3696"/>
      <c r="G1" s="3696"/>
      <c r="H1" s="3696"/>
      <c r="I1" s="3697"/>
      <c r="J1" s="2816"/>
      <c r="K1" s="2107" t="str">
        <f>IF(B10="北京市","北京市",C10)&amp;F10&amp;A17&amp;"国有建设用地使用权"&amp;B9</f>
        <v>江苏省连云港海州区锦屏山东南侧4号地出让国有建设用地使用权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江苏省连云港海州区锦屏山东南侧4号地出让国有建设用地使用权</v>
      </c>
      <c r="L2" s="2795"/>
      <c r="M2" s="2795"/>
      <c r="N2" s="2796"/>
      <c r="O2" s="2797"/>
      <c r="P2" s="2796"/>
      <c r="Q2" s="2796"/>
      <c r="R2" s="2796"/>
      <c r="S2" s="2796"/>
      <c r="T2" s="2796"/>
      <c r="U2" s="2796"/>
    </row>
    <row r="3" spans="1:21">
      <c r="A3" s="1464" t="s">
        <v>1459</v>
      </c>
      <c r="B3" s="1465"/>
      <c r="C3" s="2739" t="s">
        <v>1513</v>
      </c>
      <c r="D3" s="1465">
        <v>44929</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01"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02"/>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3254</v>
      </c>
      <c r="C10" s="1478" t="s">
        <v>3255</v>
      </c>
      <c r="D10" s="1470"/>
      <c r="E10" s="1479" t="s">
        <v>1466</v>
      </c>
      <c r="F10" s="1480" t="s">
        <v>3350</v>
      </c>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698"/>
      <c r="C12" s="3699"/>
      <c r="D12" s="3700"/>
      <c r="E12" s="1494" t="s">
        <v>1579</v>
      </c>
      <c r="F12" s="3716" t="s">
        <v>2163</v>
      </c>
      <c r="G12" s="3717"/>
      <c r="H12" s="3717"/>
      <c r="I12" s="3718"/>
      <c r="J12" s="2816"/>
      <c r="K12" s="2799"/>
      <c r="L12" s="2795"/>
      <c r="M12" s="2795"/>
      <c r="N12" s="2796"/>
      <c r="O12" s="2797"/>
      <c r="P12" s="2796"/>
      <c r="Q12" s="2796"/>
      <c r="R12" s="2796"/>
      <c r="S12" s="2796"/>
      <c r="T12" s="2796"/>
      <c r="U12" s="2796"/>
    </row>
    <row r="13" spans="1:21">
      <c r="A13" s="1485" t="s">
        <v>1577</v>
      </c>
      <c r="B13" s="3698"/>
      <c r="C13" s="3699"/>
      <c r="D13" s="3700"/>
      <c r="E13" s="1494" t="s">
        <v>1579</v>
      </c>
      <c r="F13" s="3716" t="s">
        <v>2164</v>
      </c>
      <c r="G13" s="3717"/>
      <c r="H13" s="3717"/>
      <c r="I13" s="3718"/>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2" t="s">
        <v>1469</v>
      </c>
      <c r="D16" s="1516" t="s">
        <v>2738</v>
      </c>
      <c r="E16" s="1516" t="s">
        <v>1212</v>
      </c>
      <c r="F16" s="1516" t="s">
        <v>2739</v>
      </c>
      <c r="G16" s="1516" t="s">
        <v>2740</v>
      </c>
      <c r="H16" s="1484" t="s">
        <v>776</v>
      </c>
      <c r="I16" s="1484" t="s">
        <v>2737</v>
      </c>
      <c r="J16" s="2816"/>
      <c r="K16" s="2108" t="str">
        <f>IF(D17="","",D16&amp;TEXT(D17,"yyyy年m月d日;;"))</f>
        <v>商业2053年10月13日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2741</v>
      </c>
      <c r="B17" s="2745" t="s">
        <v>1473</v>
      </c>
      <c r="C17" s="3335"/>
      <c r="D17" s="3976">
        <v>56170</v>
      </c>
      <c r="E17" s="3335"/>
      <c r="F17" s="3335"/>
      <c r="G17" s="3335"/>
      <c r="H17" s="3335"/>
      <c r="I17" s="3335"/>
      <c r="J17" s="2816"/>
      <c r="K17" s="2794" t="str">
        <f>CONCATENATE(K16,L16,M16,N16,O16,P16,Q16,R16,S16,T16,,U16)</f>
        <v>商业2053年10月13日</v>
      </c>
      <c r="L17" s="2795"/>
      <c r="M17" s="2795"/>
      <c r="N17" s="2796"/>
      <c r="O17" s="2797"/>
      <c r="P17" s="2796"/>
      <c r="Q17" s="2796"/>
      <c r="R17" s="2796"/>
      <c r="S17" s="2796"/>
      <c r="T17" s="2796"/>
      <c r="U17" s="2796"/>
    </row>
    <row r="18" spans="1:21">
      <c r="A18" s="1552"/>
      <c r="B18" s="2745" t="s">
        <v>1474</v>
      </c>
      <c r="C18" s="1482"/>
      <c r="D18" s="1482">
        <v>40</v>
      </c>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30.79</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3"/>
      <c r="E20" s="3714"/>
      <c r="F20" s="3714"/>
      <c r="G20" s="3714"/>
      <c r="H20" s="3714"/>
      <c r="I20" s="3715"/>
      <c r="J20" s="2816"/>
      <c r="K20" s="2799"/>
      <c r="L20" s="2795"/>
      <c r="M20" s="2795"/>
      <c r="N20" s="2796"/>
      <c r="O20" s="2797"/>
      <c r="P20" s="2796"/>
      <c r="Q20" s="2796"/>
      <c r="R20" s="2796"/>
      <c r="S20" s="2796"/>
      <c r="T20" s="2796"/>
      <c r="U20" s="2796"/>
    </row>
    <row r="21" spans="1:21">
      <c r="A21" s="1552" t="s">
        <v>1476</v>
      </c>
      <c r="B21" s="1553" t="s">
        <v>1477</v>
      </c>
      <c r="C21" s="1548">
        <f>'数据-汇总表'!E3</f>
        <v>294028.11</v>
      </c>
      <c r="D21" s="1549" t="s">
        <v>1478</v>
      </c>
      <c r="E21" s="3703" t="s">
        <v>1516</v>
      </c>
      <c r="F21" s="3704"/>
      <c r="G21" s="3704"/>
      <c r="H21" s="3704"/>
      <c r="I21" s="3705"/>
      <c r="J21" s="2816"/>
      <c r="K21" s="2799"/>
      <c r="L21" s="2795"/>
      <c r="M21" s="2795"/>
      <c r="N21" s="2796"/>
      <c r="O21" s="2797"/>
      <c r="P21" s="2796"/>
      <c r="Q21" s="2796"/>
      <c r="R21" s="2796"/>
      <c r="S21" s="2796"/>
      <c r="T21" s="2796"/>
      <c r="U21" s="2796"/>
    </row>
    <row r="22" spans="1:21">
      <c r="A22" s="2556" t="s">
        <v>877</v>
      </c>
      <c r="B22" s="1464" t="s">
        <v>1479</v>
      </c>
      <c r="C22" s="1484">
        <f>'数据-汇总表'!D3</f>
        <v>85225.54</v>
      </c>
      <c r="D22" s="1485" t="s">
        <v>1478</v>
      </c>
      <c r="E22" s="3703" t="s">
        <v>2165</v>
      </c>
      <c r="F22" s="3704"/>
      <c r="G22" s="3704"/>
      <c r="H22" s="3704"/>
      <c r="I22" s="370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06" t="s">
        <v>1484</v>
      </c>
      <c r="C24" s="3707"/>
      <c r="D24" s="3708" t="s">
        <v>1485</v>
      </c>
      <c r="E24" s="3709"/>
      <c r="F24" s="1502" t="s">
        <v>1486</v>
      </c>
      <c r="G24" s="2816"/>
      <c r="H24" s="2816"/>
      <c r="I24" s="2820"/>
      <c r="J24" s="2816"/>
      <c r="K24" s="369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1" t="s">
        <v>1519</v>
      </c>
      <c r="B31" s="1553" t="s">
        <v>1520</v>
      </c>
      <c r="C31" s="3719"/>
      <c r="D31" s="3720"/>
      <c r="E31" s="2816"/>
      <c r="F31" s="2816"/>
      <c r="G31" s="2816"/>
      <c r="H31" s="2816"/>
      <c r="I31" s="2820"/>
      <c r="J31" s="2816"/>
      <c r="K31" s="2802"/>
      <c r="L31" s="2796"/>
      <c r="M31" s="2796"/>
      <c r="N31" s="2796"/>
      <c r="O31" s="2796"/>
      <c r="P31" s="2796"/>
      <c r="Q31" s="2796"/>
      <c r="R31" s="2796"/>
      <c r="S31" s="2796"/>
      <c r="T31" s="2796"/>
      <c r="U31" s="2796"/>
    </row>
    <row r="32" spans="1:21">
      <c r="A32" s="372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2"/>
      <c r="B34" s="1464" t="s">
        <v>1523</v>
      </c>
      <c r="C34" s="3723"/>
      <c r="D34" s="3724"/>
      <c r="E34" s="2816"/>
      <c r="F34" s="2816"/>
      <c r="G34" s="2816"/>
      <c r="H34" s="2816"/>
      <c r="I34" s="2820"/>
      <c r="J34" s="2816"/>
      <c r="K34" s="2802"/>
      <c r="L34" s="2796"/>
      <c r="M34" s="2796"/>
      <c r="N34" s="2796"/>
      <c r="O34" s="2796"/>
      <c r="P34" s="2796"/>
      <c r="Q34" s="2796"/>
      <c r="R34" s="2796"/>
      <c r="S34" s="2796"/>
      <c r="T34" s="2796"/>
      <c r="U34" s="2796"/>
    </row>
    <row r="35" spans="1:28">
      <c r="A35" s="3725" t="s">
        <v>785</v>
      </c>
      <c r="B35" s="1516"/>
      <c r="C35" s="1562" t="str">
        <f>IF(B35="场地平整","——","具体情况：")</f>
        <v>具体情况：</v>
      </c>
      <c r="D35" s="3727"/>
      <c r="E35" s="3728"/>
      <c r="F35" s="3728"/>
      <c r="G35" s="3728"/>
      <c r="H35" s="3728"/>
      <c r="I35" s="3729"/>
      <c r="J35" s="2816"/>
      <c r="K35" s="2803"/>
      <c r="L35" s="2795"/>
      <c r="M35" s="2795"/>
      <c r="N35" s="2796"/>
      <c r="O35" s="2797"/>
      <c r="P35" s="2796"/>
      <c r="Q35" s="2796"/>
      <c r="R35" s="2796"/>
      <c r="S35" s="2796"/>
      <c r="T35" s="2796"/>
      <c r="U35" s="2796"/>
    </row>
    <row r="36" spans="1:28">
      <c r="A36" s="3721"/>
      <c r="B36" s="3730" t="s">
        <v>1572</v>
      </c>
      <c r="C36" s="3731"/>
      <c r="D36" s="1578"/>
      <c r="E36" s="3732"/>
      <c r="F36" s="3732"/>
      <c r="G36" s="1485" t="str">
        <f>IF(B35="场地未平整","估价结果处理","")</f>
        <v/>
      </c>
      <c r="H36" s="3733"/>
      <c r="I36" s="3733"/>
      <c r="J36" s="2816"/>
      <c r="K36" s="2803"/>
      <c r="L36" s="2795"/>
      <c r="M36" s="2795"/>
      <c r="N36" s="2796"/>
      <c r="O36" s="2797"/>
      <c r="P36" s="2796"/>
      <c r="Q36" s="2796"/>
      <c r="R36" s="2796"/>
      <c r="S36" s="2796"/>
      <c r="T36" s="2796"/>
      <c r="U36" s="2796"/>
    </row>
    <row r="37" spans="1:28" ht="28.5">
      <c r="A37" s="3721"/>
      <c r="B37" s="371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1"/>
      <c r="B38" s="3711"/>
      <c r="C38" s="1472" t="s">
        <v>788</v>
      </c>
      <c r="D38" s="1577">
        <f>ROUNDDOWN(MIN(('数据-取费表'!$B$2-D37)/365,D34),1)</f>
        <v>123</v>
      </c>
      <c r="E38" s="1521" t="s">
        <v>789</v>
      </c>
      <c r="F38" s="2816"/>
      <c r="G38" s="2816"/>
      <c r="H38" s="2816"/>
      <c r="I38" s="2820"/>
      <c r="J38" s="2816"/>
      <c r="K38" s="2803"/>
      <c r="L38" s="2796"/>
      <c r="M38" s="2796"/>
      <c r="N38" s="2796"/>
      <c r="O38" s="2796"/>
      <c r="P38" s="2796"/>
      <c r="Q38" s="2796"/>
      <c r="R38" s="2796"/>
      <c r="S38" s="2796"/>
      <c r="T38" s="2796"/>
      <c r="U38" s="2796"/>
    </row>
    <row r="39" spans="1:28">
      <c r="A39" s="3722"/>
      <c r="B39" s="3712"/>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693" t="s">
        <v>1503</v>
      </c>
      <c r="T40" s="1525" t="str">
        <f>NUMBERSTRING(7-K40,1)&amp;"通"</f>
        <v>七通</v>
      </c>
      <c r="U40" s="2796"/>
    </row>
    <row r="41" spans="1:28">
      <c r="A41" s="1466"/>
      <c r="B41" s="3726" t="s">
        <v>1250</v>
      </c>
      <c r="C41" s="3726"/>
      <c r="D41" s="3726"/>
      <c r="E41" s="3726"/>
      <c r="F41" s="1526" t="str">
        <f>C10</f>
        <v>江苏省</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693"/>
      <c r="T41" s="1527" t="str">
        <f>IF(T40="一通",L41,IF(T40="二通",M41,IF(T40="三通",N41,IF(T40="四通",O41,IF(T40="五通",P41,IF(T40="六通",Q41,R41))))))</f>
        <v>、、、、、、</v>
      </c>
      <c r="U41" s="2796"/>
    </row>
    <row r="42" spans="1:28">
      <c r="A42" s="1529"/>
      <c r="B42" s="1555" t="s">
        <v>1422</v>
      </c>
      <c r="C42" s="1555" t="s">
        <v>1423</v>
      </c>
      <c r="D42" s="1555" t="s">
        <v>1424</v>
      </c>
      <c r="E42" s="3282" t="s">
        <v>2742</v>
      </c>
      <c r="F42" s="3282"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85225.54</v>
      </c>
      <c r="B3" s="20">
        <f>IF(C3="否",G5-AT5,G5)</f>
        <v>294028.11</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294028.11</v>
      </c>
      <c r="H5" s="25">
        <f t="shared" ref="H5:AT5" si="0">SUM(H13:H641)</f>
        <v>294028.11</v>
      </c>
      <c r="I5" s="25">
        <f t="shared" si="0"/>
        <v>294028.11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294028.11</v>
      </c>
      <c r="BA5" s="27">
        <f t="shared" si="1"/>
        <v>294028.11</v>
      </c>
      <c r="BB5" s="27">
        <f t="shared" si="1"/>
        <v>294028.11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85225.54</v>
      </c>
      <c r="F6" s="25" t="s">
        <v>0</v>
      </c>
      <c r="G6" s="25" t="s">
        <v>1</v>
      </c>
      <c r="H6" s="31">
        <f>SUMIF(I$12:AB$12,"总值",I6:AB6)</f>
        <v>85225.54</v>
      </c>
      <c r="I6" s="25">
        <f t="shared" ref="I6:AB6" si="2">ROUND($A$3*I5/$B$3,2)</f>
        <v>85225.54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85225.54</v>
      </c>
      <c r="AZ6" s="25" t="s">
        <v>2</v>
      </c>
      <c r="BA6" s="25">
        <f>ROUND($AY$6*BA5/$AZ$5,2)</f>
        <v>85225.54</v>
      </c>
      <c r="BB6" s="25">
        <f>ROUND($AY$6*BB5/$AZ$5,2)</f>
        <v>85225.54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3259</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2738</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3260</v>
      </c>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独立商业</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t="s">
        <v>3256</v>
      </c>
      <c r="B13" s="2487">
        <v>3.45</v>
      </c>
      <c r="C13" s="2487"/>
      <c r="D13" s="2488" t="s">
        <v>3262</v>
      </c>
      <c r="E13" s="25">
        <f t="shared" ref="E13:E20" si="6">IF($C$3="是",ROUND($A$3*G13/$B$3,2),ROUND($A$3*(G13-AT13)/$B$3,2))</f>
        <v>85225.54</v>
      </c>
      <c r="F13" s="78"/>
      <c r="G13" s="79">
        <f t="shared" ref="G13:G20" si="7">H13+AC13+AT13</f>
        <v>294028.11</v>
      </c>
      <c r="H13" s="31">
        <f t="shared" ref="H13:H20" si="8">SUMIF(I$12:AB$12,"总值",I13:AB13)</f>
        <v>294028.11</v>
      </c>
      <c r="I13" s="2490">
        <f>ROUND(A3*B13,2)</f>
        <v>294028.11</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t="str">
        <f t="shared" ref="AV13:AX20" si="10">A13</f>
        <v>容积率</v>
      </c>
      <c r="AW13" s="15">
        <f t="shared" si="10"/>
        <v>3.45</v>
      </c>
      <c r="AX13" s="15">
        <f t="shared" si="10"/>
        <v>0</v>
      </c>
      <c r="AY13" s="958">
        <f t="shared" ref="AY13:AY20" si="11">ROUND($AY$6*AZ13/$AZ$5,2)</f>
        <v>85225.54</v>
      </c>
      <c r="AZ13" s="25">
        <f t="shared" ref="AZ13:AZ20" si="12">BA13+BL13</f>
        <v>294028.11</v>
      </c>
      <c r="BA13" s="25">
        <f t="shared" ref="BA13:BA20" si="13">SUM(BB13:BK13)</f>
        <v>294028.11</v>
      </c>
      <c r="BB13" s="25">
        <f t="shared" ref="BB13:BB20" si="14">IF($D13="是",I13-J13,0)</f>
        <v>294028.11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t="s">
        <v>3257</v>
      </c>
      <c r="B14" s="3977">
        <v>0.4</v>
      </c>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t="str">
        <f t="shared" si="10"/>
        <v>建筑密度</v>
      </c>
      <c r="AW14" s="15">
        <f t="shared" si="10"/>
        <v>0.4</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t="s">
        <v>3258</v>
      </c>
      <c r="B17" s="2487">
        <f>K13/(B14*A3)</f>
        <v>0</v>
      </c>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t="str">
        <f t="shared" si="10"/>
        <v>估算楼层</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3978">
        <f>K13/A3</f>
        <v>0</v>
      </c>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3" t="s">
        <v>169</v>
      </c>
      <c r="B2" s="3743"/>
      <c r="C2" s="3743"/>
      <c r="D2" s="1729" t="s">
        <v>170</v>
      </c>
      <c r="E2" s="102" t="s">
        <v>171</v>
      </c>
      <c r="F2" s="2825"/>
      <c r="G2" s="1096"/>
      <c r="H2" s="1097"/>
      <c r="I2" s="1098" t="s">
        <v>795</v>
      </c>
      <c r="J2" s="2825"/>
      <c r="K2" s="2825"/>
      <c r="L2" s="2825"/>
      <c r="M2" s="2825"/>
      <c r="N2" s="2825"/>
      <c r="O2" s="2825"/>
      <c r="P2" s="2825"/>
    </row>
    <row r="3" spans="1:16" ht="15.75" thickBot="1">
      <c r="A3" s="3744" t="s">
        <v>172</v>
      </c>
      <c r="B3" s="3744"/>
      <c r="C3" s="3744"/>
      <c r="D3" s="103">
        <f>'数据-基础表'!AY6</f>
        <v>85225.54</v>
      </c>
      <c r="E3" s="103">
        <f>'数据-基础表'!AZ5</f>
        <v>294028.11</v>
      </c>
      <c r="F3" s="2825"/>
      <c r="G3" s="271" t="s">
        <v>796</v>
      </c>
      <c r="H3" s="266" t="s">
        <v>797</v>
      </c>
      <c r="I3" s="1730">
        <f>ROUND('数据-基础表'!B3/'数据-基础表'!A3,2)</f>
        <v>3.45</v>
      </c>
      <c r="J3" s="2825"/>
      <c r="K3" s="2825"/>
      <c r="L3" s="2825"/>
      <c r="M3" s="2825"/>
      <c r="N3" s="2825"/>
      <c r="O3" s="2825"/>
      <c r="P3" s="2825"/>
    </row>
    <row r="4" spans="1:16" ht="15">
      <c r="A4" s="3745"/>
      <c r="B4" s="3746"/>
      <c r="C4" s="3747"/>
      <c r="D4" s="104" t="s">
        <v>170</v>
      </c>
      <c r="E4" s="105" t="s">
        <v>171</v>
      </c>
      <c r="F4" s="2825"/>
      <c r="G4" s="1099"/>
      <c r="H4" s="266" t="s">
        <v>798</v>
      </c>
      <c r="I4" s="1730">
        <f>ROUND(SUMIF('数据-基础表'!I9:AS9,"地上",'数据-基础表'!I5:AS5)/'数据-基础表'!A3,2)</f>
        <v>3.45</v>
      </c>
      <c r="J4" s="2825"/>
      <c r="K4" s="2825"/>
      <c r="L4" s="2825"/>
      <c r="M4" s="2825"/>
      <c r="N4" s="2825"/>
      <c r="O4" s="2825"/>
      <c r="P4" s="2825"/>
    </row>
    <row r="5" spans="1:16">
      <c r="A5" s="106" t="s">
        <v>173</v>
      </c>
      <c r="B5" s="3748" t="s">
        <v>196</v>
      </c>
      <c r="C5" s="3748"/>
      <c r="D5" s="107">
        <f>ROUND($D$3*E5/$E$3,2)</f>
        <v>0</v>
      </c>
      <c r="E5" s="108">
        <f>SUMIF('数据-基础表'!$11:$11,"住宅",'数据-基础表'!$5:$5)</f>
        <v>0</v>
      </c>
      <c r="F5" s="2825"/>
      <c r="G5" s="271" t="s">
        <v>799</v>
      </c>
      <c r="H5" s="266" t="s">
        <v>797</v>
      </c>
      <c r="I5" s="1730">
        <f>ROUND(E31/D31,2)</f>
        <v>3.45</v>
      </c>
      <c r="J5" s="2825"/>
      <c r="K5" s="2825"/>
      <c r="L5" s="2825"/>
      <c r="M5" s="2825"/>
      <c r="N5" s="2825"/>
      <c r="O5" s="2825"/>
      <c r="P5" s="2825"/>
    </row>
    <row r="6" spans="1:16" ht="15" thickBot="1">
      <c r="A6" s="109"/>
      <c r="B6" s="3748" t="s">
        <v>174</v>
      </c>
      <c r="C6" s="3748"/>
      <c r="D6" s="107">
        <f>ROUND($D$3*E6/$E$3,2)</f>
        <v>85225.54</v>
      </c>
      <c r="E6" s="108">
        <f>E3-E5</f>
        <v>294028.11</v>
      </c>
      <c r="F6" s="2825"/>
      <c r="G6" s="1099"/>
      <c r="H6" s="266" t="s">
        <v>798</v>
      </c>
      <c r="I6" s="1730">
        <f>ROUND(F31/D31,2)</f>
        <v>3.45</v>
      </c>
      <c r="J6" s="2825"/>
      <c r="K6" s="2825"/>
      <c r="L6" s="2825"/>
      <c r="M6" s="2825"/>
      <c r="N6" s="2825"/>
      <c r="O6" s="2825"/>
      <c r="P6" s="2825"/>
    </row>
    <row r="7" spans="1:16" ht="15">
      <c r="A7" s="3740"/>
      <c r="B7" s="3741"/>
      <c r="C7" s="374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85225.54</v>
      </c>
      <c r="E8" s="112">
        <f>SUMIF('数据-基础表'!BB10:BK10,"地上",'数据-基础表'!BB5:BK5)</f>
        <v>294028.11</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85225.54</v>
      </c>
      <c r="E16" s="116">
        <f>SUM(E8:E15)</f>
        <v>294028.11</v>
      </c>
      <c r="F16" s="2825"/>
      <c r="G16" s="2826"/>
      <c r="H16" s="930" t="s">
        <v>185</v>
      </c>
      <c r="I16" s="931"/>
      <c r="J16" s="1738"/>
      <c r="K16" s="3734" t="s">
        <v>1849</v>
      </c>
      <c r="L16" s="3735"/>
      <c r="M16" s="3735"/>
      <c r="N16" s="3735"/>
      <c r="O16" s="3735"/>
      <c r="P16" s="3736"/>
    </row>
    <row r="17" spans="1:19" ht="15">
      <c r="A17" s="117" t="s">
        <v>182</v>
      </c>
      <c r="B17" s="118" t="s">
        <v>183</v>
      </c>
      <c r="C17" s="2016" t="s">
        <v>1670</v>
      </c>
      <c r="D17" s="104" t="s">
        <v>170</v>
      </c>
      <c r="E17" s="120" t="s">
        <v>171</v>
      </c>
      <c r="F17" s="121"/>
      <c r="G17" s="1225"/>
      <c r="H17" s="932" t="s">
        <v>184</v>
      </c>
      <c r="I17" s="933" t="s">
        <v>1669</v>
      </c>
      <c r="J17" s="1738"/>
      <c r="K17" s="3737" t="s">
        <v>1850</v>
      </c>
      <c r="L17" s="3738"/>
      <c r="M17" s="3739"/>
      <c r="N17" s="3737" t="s">
        <v>1851</v>
      </c>
      <c r="O17" s="3738"/>
      <c r="P17" s="373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3261</v>
      </c>
      <c r="D19" s="107">
        <f t="shared" ref="D19:D26" si="1">ROUND($D$3*E19/$E$3,2)</f>
        <v>85225.54</v>
      </c>
      <c r="E19" s="130">
        <f t="shared" ref="E19:E26" si="2">SUM(F19:G19)</f>
        <v>294028.11</v>
      </c>
      <c r="F19" s="2827">
        <f>'数据-基础表'!I13</f>
        <v>294028.11</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85225.54</v>
      </c>
      <c r="S19" s="2019">
        <f t="shared" si="5"/>
        <v>294028.11</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85225.54</v>
      </c>
      <c r="E27" s="136">
        <f>IF(SUM(E19:E26)='数据-基础表'!BA5,SUM(E19:E26),IF(F27="地上面积有误","面积有误","地下面积有误"))</f>
        <v>294028.11</v>
      </c>
      <c r="F27" s="130">
        <f>IF(SUM(F19:F26)=E8,SUM(F19:F26),"地上面积有误")</f>
        <v>294028.11</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85225.54</v>
      </c>
      <c r="S27" s="266">
        <f>IF(SUM(S19:S26)=$E$3,SUM(S19:S26),SUM(S19:S26)&amp;"误差"&amp;ROUND(SUM(S19:S26)-E3,2))</f>
        <v>294028.11</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85225.54</v>
      </c>
      <c r="E31" s="1229">
        <f>E27+E30</f>
        <v>294028.11</v>
      </c>
      <c r="F31" s="1230">
        <f>F27+F30</f>
        <v>294028.11</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D6" activePane="bottomRight" state="frozen"/>
      <selection pane="topRight" activeCell="D1" sqref="D1"/>
      <selection pane="bottomLeft" activeCell="A4" sqref="A4"/>
      <selection pane="bottomRight" activeCell="AH23" sqref="AH23"/>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10.5" style="1101" bestFit="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44929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2260</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商业</v>
      </c>
      <c r="B6" s="2055" t="str">
        <f>IF(A6=0,"","经营性")</f>
        <v>经营性</v>
      </c>
      <c r="C6" s="166" t="s">
        <v>2738</v>
      </c>
      <c r="D6" s="2026">
        <f>SUMIF(项目基本情况!C$15:I$15,C6,项目基本情况!C$18:I$18)</f>
        <v>40</v>
      </c>
      <c r="E6" s="2027">
        <f>IF(B6="","",SUMIF(项目基本情况!C$15:I$15,C6,项目基本情况!C$17:I$17))</f>
        <v>56170</v>
      </c>
      <c r="F6" s="167">
        <f>SUMIF(项目基本情况!C$15:I$15,C6,项目基本情况!C$19:I$19)</f>
        <v>30.79</v>
      </c>
      <c r="G6" s="168">
        <f t="shared" ref="G6:G13" si="0">IF(ISERROR(ROUND(POWER(1+H6,D6-F6)*(POWER(1+H6,F6)-1)/(POWER(1+H6,D6)-1),3)),0,ROUND(POWER(1+H6,D6-F6)*(POWER(1+H6,F6)-1)/(POWER(1+H6,D6)-1),3))</f>
        <v>0.90600000000000003</v>
      </c>
      <c r="H6" s="2498">
        <v>0.05</v>
      </c>
      <c r="I6" s="2498">
        <v>5.5E-2</v>
      </c>
      <c r="J6" s="169">
        <v>0.08</v>
      </c>
      <c r="K6" s="172">
        <f>SUMIF('数据-汇总表'!C$19:C$33,'数据-取费表'!A6,'数据-汇总表'!E$19:E$33)</f>
        <v>294028.11</v>
      </c>
      <c r="L6" s="2499">
        <v>2300</v>
      </c>
      <c r="M6" s="170">
        <f t="shared" ref="M6:M14" si="1">ROUND(K6*L6/10000,0)</f>
        <v>67626</v>
      </c>
      <c r="N6" s="2500">
        <v>0</v>
      </c>
      <c r="O6" s="170">
        <f>IF($N$5="成新度","——",ROUND(M6*N6,0))</f>
        <v>0</v>
      </c>
      <c r="P6" s="171">
        <f>IF($N$5="成新度","——",M6-O6)</f>
        <v>67626</v>
      </c>
      <c r="Q6" s="2501">
        <v>0.1</v>
      </c>
      <c r="R6" s="172">
        <f>SUMIF('数据-汇总表'!C$19:C$33,A6,'数据-汇总表'!R$19:R$33)</f>
        <v>85225.54</v>
      </c>
      <c r="S6" s="128">
        <f>IF('数据-汇总表'!$I$17="按面积比例",SUMIF('数据-汇总表'!C$19:C$33,A6,'数据-汇总表'!K$19:K$33),SUMIF('数据-汇总表'!C$19:C$33,A6,'数据-汇总表'!N$19:N$33))</f>
        <v>0</v>
      </c>
      <c r="T6" s="1952" t="str">
        <f>IF($T$4="按面积比例",IF(ISERROR(ROUND($M$14*S6/S$16,0)),"0",ROUND($M$14*S6/S$16,0)),"需自行计算录入")</f>
        <v>0</v>
      </c>
      <c r="U6" s="173">
        <v>1.5</v>
      </c>
      <c r="V6" s="174">
        <v>2.5000000000000001E-2</v>
      </c>
      <c r="W6" s="174">
        <v>0.15</v>
      </c>
      <c r="X6" s="2039"/>
      <c r="Y6" s="175">
        <v>1</v>
      </c>
      <c r="Z6" s="176"/>
      <c r="AA6" s="169"/>
      <c r="AB6" s="169"/>
      <c r="AC6" s="2042"/>
      <c r="AD6" s="177"/>
      <c r="AE6" s="934">
        <f ca="1">IF(AN6="",0,SUMIF(INDIRECT("'"&amp;AN6&amp;"'"&amp;"!E:E"),$AE$5,INDIRECT("'"&amp;AN6&amp;"'"&amp;"!F:F")))</f>
        <v>27.79</v>
      </c>
      <c r="AF6" s="134"/>
      <c r="AG6" s="1111">
        <f>IF(AF6="",0,AE6-AF6)</f>
        <v>0</v>
      </c>
      <c r="AH6" s="3979">
        <f>K6</f>
        <v>294028.11</v>
      </c>
      <c r="AI6" s="180">
        <v>365</v>
      </c>
      <c r="AJ6" s="181"/>
      <c r="AK6" s="182">
        <v>0.01</v>
      </c>
      <c r="AL6" s="183">
        <v>1.5E-3</v>
      </c>
      <c r="AM6" s="2081">
        <v>0.01</v>
      </c>
      <c r="AN6" s="2083" t="s">
        <v>3263</v>
      </c>
      <c r="AO6" s="2835"/>
      <c r="AP6" s="1102">
        <f>ROUND(1-1/(1+H6)^F6,3)</f>
        <v>0.77700000000000002</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0.90600000000000003</v>
      </c>
      <c r="H16" s="194">
        <f>ROUND(SUMPRODUCT(H6:H13,K6:K13)/SUMPRODUCT((H6:H13&gt;0)*(K6:K13)),3)</f>
        <v>0.05</v>
      </c>
      <c r="I16" s="195"/>
      <c r="J16" s="195"/>
      <c r="K16" s="196">
        <f>SUM(K6:K15)</f>
        <v>294028.11</v>
      </c>
      <c r="L16" s="197">
        <f>ROUND(M16*10000/SUM(K6:K14),0)</f>
        <v>2300</v>
      </c>
      <c r="M16" s="197">
        <f>SUM(M6:M14)</f>
        <v>67626</v>
      </c>
      <c r="N16" s="198">
        <f>ROUND(SUMPRODUCT(M6:M14,N6:N14)/M16,3)</f>
        <v>0</v>
      </c>
      <c r="O16" s="197">
        <f>SUM(O6:O14)</f>
        <v>0</v>
      </c>
      <c r="P16" s="197">
        <f>SUM(P6:P14)</f>
        <v>67626</v>
      </c>
      <c r="Q16" s="199">
        <f>ROUND(SUMPRODUCT(Q6:Q13,K6:K13)/SUMPRODUCT((Q6:Q13&gt;0)*(K6:K13)),2)</f>
        <v>0.1</v>
      </c>
      <c r="R16" s="2029">
        <f>SUM(R6:R13)</f>
        <v>85225.54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0.77700000000000002</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3</v>
      </c>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6</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3</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105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150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70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80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2261</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2262</v>
      </c>
      <c r="D34" s="2851" t="s">
        <v>2269</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150</v>
      </c>
      <c r="C35" s="2850" t="s">
        <v>2263</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2264</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1.4999999999999999E-2</v>
      </c>
      <c r="C37" s="2850" t="s">
        <v>2265</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2265</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4.2999999999999997E-2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2270</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2266</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2267</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2266</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2268</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3</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v>16</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v>12</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v>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v>5</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49" t="s">
        <v>1198</v>
      </c>
      <c r="B1" s="3750"/>
      <c r="C1" s="3750"/>
      <c r="D1" s="3750"/>
      <c r="E1" s="3750"/>
      <c r="F1" s="3750"/>
      <c r="G1" s="375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2869"/>
      <c r="D3" s="2870"/>
      <c r="E3" s="2871" t="s">
        <v>1201</v>
      </c>
      <c r="F3" s="2872" t="s">
        <v>1189</v>
      </c>
      <c r="G3" s="2873" t="s">
        <v>2182</v>
      </c>
      <c r="H3" s="2866"/>
      <c r="I3" s="2866"/>
      <c r="J3" s="2866"/>
      <c r="K3" s="2866"/>
      <c r="L3" s="2866"/>
      <c r="M3" s="2866"/>
      <c r="N3" s="2866"/>
      <c r="O3" s="2866"/>
      <c r="P3" s="2866"/>
      <c r="Q3" s="2866"/>
      <c r="R3" s="2866"/>
    </row>
    <row r="4" spans="1:18" ht="40.5">
      <c r="A4" s="2871"/>
      <c r="B4" s="2874" t="s">
        <v>1202</v>
      </c>
      <c r="C4" s="3989" t="s">
        <v>3338</v>
      </c>
      <c r="D4" s="2870"/>
      <c r="E4" s="2876"/>
      <c r="F4" s="2877" t="s">
        <v>1203</v>
      </c>
      <c r="G4" s="2878" t="s">
        <v>2179</v>
      </c>
      <c r="H4" s="2866"/>
      <c r="I4" s="2866"/>
      <c r="J4" s="2866"/>
      <c r="K4" s="2866"/>
      <c r="L4" s="2866"/>
      <c r="M4" s="2866"/>
      <c r="N4" s="2866"/>
      <c r="O4" s="2866"/>
      <c r="P4" s="2866"/>
      <c r="Q4" s="2866"/>
      <c r="R4" s="2866"/>
    </row>
    <row r="5" spans="1:18" ht="27">
      <c r="A5" s="2871"/>
      <c r="B5" s="2874" t="s">
        <v>1204</v>
      </c>
      <c r="C5" s="2875"/>
      <c r="D5" s="2870"/>
      <c r="E5" s="2876"/>
      <c r="F5" s="2874" t="s">
        <v>1829</v>
      </c>
      <c r="G5" s="2878" t="s">
        <v>2180</v>
      </c>
      <c r="H5" s="2866"/>
      <c r="I5" s="2866"/>
      <c r="J5" s="2866"/>
      <c r="K5" s="2866"/>
      <c r="L5" s="2866"/>
      <c r="M5" s="2866"/>
      <c r="N5" s="2866"/>
      <c r="O5" s="2866"/>
      <c r="P5" s="2866"/>
      <c r="Q5" s="2866"/>
      <c r="R5" s="2866"/>
    </row>
    <row r="6" spans="1:18" ht="54">
      <c r="A6" s="2871"/>
      <c r="B6" s="2874" t="s">
        <v>1190</v>
      </c>
      <c r="C6" s="3990" t="s">
        <v>3339</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3990" t="s">
        <v>3340</v>
      </c>
      <c r="D7" s="2879"/>
      <c r="E7" s="2880"/>
      <c r="F7" s="2881" t="s">
        <v>1205</v>
      </c>
      <c r="G7" s="2882" t="s">
        <v>2181</v>
      </c>
      <c r="H7" s="2866"/>
      <c r="I7" s="2866"/>
      <c r="J7" s="2866"/>
      <c r="K7" s="2866"/>
      <c r="L7" s="2866"/>
      <c r="M7" s="2866"/>
      <c r="N7" s="2866"/>
      <c r="O7" s="2866"/>
      <c r="P7" s="2866"/>
      <c r="Q7" s="2866"/>
      <c r="R7" s="2866"/>
    </row>
    <row r="8" spans="1:18">
      <c r="A8" s="2871"/>
      <c r="B8" s="2874" t="s">
        <v>1830</v>
      </c>
      <c r="C8" s="3990" t="s">
        <v>3341</v>
      </c>
      <c r="D8" s="2879"/>
      <c r="E8" s="2879"/>
      <c r="F8" s="2883"/>
      <c r="G8" s="2883"/>
      <c r="H8" s="2866"/>
      <c r="I8" s="2866"/>
      <c r="J8" s="2866"/>
      <c r="K8" s="2866"/>
      <c r="L8" s="2866"/>
      <c r="M8" s="2866"/>
      <c r="N8" s="2866"/>
      <c r="O8" s="2866"/>
      <c r="P8" s="2866"/>
      <c r="Q8" s="2866"/>
      <c r="R8" s="2866"/>
    </row>
    <row r="9" spans="1:18" ht="27">
      <c r="A9" s="2871"/>
      <c r="B9" s="2874" t="s">
        <v>1191</v>
      </c>
      <c r="C9" s="3989" t="s">
        <v>3342</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t="s">
        <v>3343</v>
      </c>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f>C3</f>
        <v>0</v>
      </c>
      <c r="D15" s="2870"/>
      <c r="E15" s="2911" t="s">
        <v>1193</v>
      </c>
      <c r="F15" s="2909" t="s">
        <v>1208</v>
      </c>
      <c r="G15" s="2912" t="str">
        <f>G3</f>
        <v>估价对象位于XX开发区，园区建设成熟度XX，产业集聚程度XX</v>
      </c>
    </row>
    <row r="16" spans="1:18" ht="40.5">
      <c r="A16" s="2913"/>
      <c r="B16" s="2914" t="s">
        <v>1202</v>
      </c>
      <c r="C16" s="2915" t="str">
        <f>C4</f>
        <v>估价对象周边商业氛围成熟度一般，人流量一般，住宅底商为主，商业繁华度一般</v>
      </c>
      <c r="D16" s="2870"/>
      <c r="E16" s="2916"/>
      <c r="F16" s="2917" t="s">
        <v>1203</v>
      </c>
      <c r="G16" s="2918" t="str">
        <f>G4</f>
        <v>估价对象周边道路状况、公共交通通达情况、停车便捷程度，综合评价交通便捷度较好</v>
      </c>
    </row>
    <row r="17" spans="1:7" ht="40.5">
      <c r="A17" s="2913"/>
      <c r="B17" s="2914" t="s">
        <v>1204</v>
      </c>
      <c r="C17" s="2915">
        <f>C5</f>
        <v>0</v>
      </c>
      <c r="D17" s="2879"/>
      <c r="E17" s="2916"/>
      <c r="F17" s="2917" t="s">
        <v>1209</v>
      </c>
      <c r="G17" s="2919"/>
    </row>
    <row r="18" spans="1:7" ht="40.5">
      <c r="A18" s="2913"/>
      <c r="B18" s="2917" t="s">
        <v>1190</v>
      </c>
      <c r="C18" s="2918" t="str">
        <f>C6</f>
        <v>估价对象周边道路状况一般、公共交通通达情况较差，有5、122路经过、停车便捷程度，综合评价交通便捷度一般</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区域自然环境：；人文环境；综合评价环境状况较差</v>
      </c>
      <c r="D20" s="2879"/>
      <c r="E20" s="2916"/>
      <c r="F20" s="2874" t="s">
        <v>1830</v>
      </c>
      <c r="G20" s="2918" t="str">
        <f>G6</f>
        <v>估价对象所在区域基础设施水平</v>
      </c>
    </row>
    <row r="21" spans="1:7" ht="27">
      <c r="A21" s="2913"/>
      <c r="B21" s="2874" t="s">
        <v>1829</v>
      </c>
      <c r="C21" s="2918" t="str">
        <f>C7</f>
        <v>估价对象所在区域公共配套设施齐备情况较差</v>
      </c>
      <c r="D21" s="2870"/>
      <c r="E21" s="2916"/>
      <c r="F21" s="2917" t="s">
        <v>1196</v>
      </c>
      <c r="G21" s="2920"/>
    </row>
    <row r="22" spans="1:7" ht="14.25">
      <c r="A22" s="2913"/>
      <c r="B22" s="2874" t="s">
        <v>1830</v>
      </c>
      <c r="C22" s="2918" t="str">
        <f>C8</f>
        <v>六通</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t="str">
        <f>C10</f>
        <v>次干道-新华大道</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929" customWidth="1"/>
    <col min="2" max="16384" width="14.625" style="2929"/>
  </cols>
  <sheetData>
    <row r="1" spans="1:10" ht="16.5">
      <c r="A1" s="2928" t="s">
        <v>2118</v>
      </c>
      <c r="B1" s="2928">
        <f>SUM(B14:B23)</f>
        <v>294028.11</v>
      </c>
      <c r="C1" s="2937"/>
      <c r="D1" s="2937"/>
      <c r="E1" s="2937"/>
      <c r="F1" s="2937"/>
      <c r="G1" s="2938"/>
      <c r="H1" s="2938"/>
      <c r="I1" s="2938"/>
      <c r="J1" s="2938"/>
    </row>
    <row r="2" spans="1:10" ht="16.5">
      <c r="A2" s="2928" t="s">
        <v>2119</v>
      </c>
      <c r="B2" s="2928">
        <f>SUM(C14:C23)</f>
        <v>85225.54</v>
      </c>
      <c r="C2" s="2937"/>
      <c r="D2" s="2937"/>
      <c r="E2" s="2937"/>
      <c r="F2" s="2937"/>
      <c r="G2" s="2938"/>
      <c r="H2" s="2938"/>
      <c r="I2" s="2938"/>
      <c r="J2" s="2938"/>
    </row>
    <row r="3" spans="1:10" ht="16.5">
      <c r="A3" s="2928" t="s">
        <v>2120</v>
      </c>
      <c r="B3" s="2930">
        <f>项目基本情况!D3</f>
        <v>44929</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46076</v>
      </c>
      <c r="C5" s="2928">
        <f ca="1">ROUND(B5*10000/$B$1,0)</f>
        <v>1567</v>
      </c>
      <c r="D5" s="2928">
        <f ca="1">ROUND(B5*10000/$B$2,0)</f>
        <v>5406</v>
      </c>
      <c r="E5" s="2937"/>
      <c r="F5" s="2937"/>
      <c r="G5" s="2938"/>
      <c r="H5" s="2938"/>
      <c r="I5" s="2938"/>
      <c r="J5" s="2938"/>
    </row>
    <row r="6" spans="1:10" ht="16.5">
      <c r="A6" s="2928" t="s">
        <v>2126</v>
      </c>
      <c r="B6" s="2928">
        <f ca="1">SUM(G14:G23)</f>
        <v>46076</v>
      </c>
      <c r="C6" s="2928">
        <f ca="1">ROUND(B6*10000/$B$1,0)</f>
        <v>1567</v>
      </c>
      <c r="D6" s="2928">
        <f ca="1">ROUND(B6*10000/$B$2,0)</f>
        <v>5406</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294028.11</v>
      </c>
      <c r="C14" s="2934">
        <f>结果表!K38</f>
        <v>85225.54</v>
      </c>
      <c r="D14" s="2934">
        <f ca="1">结果表!O38</f>
        <v>46076</v>
      </c>
      <c r="E14" s="2934">
        <f ca="1">ROUND(D14*10000/B14,0)</f>
        <v>1567</v>
      </c>
      <c r="F14" s="2934">
        <f ca="1">ROUND(D14*10000/C14,0)</f>
        <v>5406</v>
      </c>
      <c r="G14" s="2934">
        <f ca="1">D14</f>
        <v>46076</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85" zoomScaleNormal="100" zoomScaleSheetLayoutView="85" zoomScalePageLayoutView="80" workbookViewId="0">
      <selection activeCell="M15" sqref="M1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5" t="str">
        <f>项目基本情况!K2</f>
        <v>江苏省连云港海州区锦屏山东南侧4号地出让国有建设用地使用权</v>
      </c>
      <c r="B2" s="3796"/>
      <c r="C2" s="3797"/>
      <c r="D2" s="3797"/>
      <c r="E2" s="3797"/>
      <c r="F2" s="3797"/>
      <c r="G2" s="3796"/>
      <c r="H2" s="3796"/>
      <c r="I2" s="3798"/>
      <c r="J2" s="1753"/>
      <c r="K2" s="1752"/>
      <c r="L2" s="1752"/>
      <c r="M2" s="1752"/>
      <c r="N2" s="1752"/>
      <c r="O2" s="1752"/>
      <c r="P2" s="1752"/>
      <c r="Q2" s="1752"/>
      <c r="R2" s="1752"/>
      <c r="S2" s="1752"/>
      <c r="T2" s="1752"/>
      <c r="U2" s="1752"/>
      <c r="V2" s="1752"/>
    </row>
    <row r="3" spans="1:22" ht="14.25">
      <c r="A3" s="3806" t="s">
        <v>264</v>
      </c>
      <c r="B3" s="3807"/>
      <c r="C3" s="3807"/>
      <c r="D3" s="3807"/>
      <c r="E3" s="3807"/>
      <c r="F3" s="3807"/>
      <c r="G3" s="3807"/>
      <c r="H3" s="3807"/>
      <c r="I3" s="3807"/>
      <c r="J3" s="1753"/>
      <c r="K3" s="1752"/>
      <c r="L3" s="1752"/>
      <c r="M3" s="1752"/>
      <c r="N3" s="1752"/>
      <c r="O3" s="1752"/>
      <c r="P3" s="1752"/>
      <c r="Q3" s="1752"/>
      <c r="R3" s="1752"/>
      <c r="S3" s="1752"/>
      <c r="T3" s="1752"/>
      <c r="U3" s="1752"/>
      <c r="V3" s="1752"/>
    </row>
    <row r="4" spans="1:22" ht="14.25">
      <c r="A4" s="249" t="s">
        <v>265</v>
      </c>
      <c r="B4" s="250" t="s">
        <v>266</v>
      </c>
      <c r="C4" s="251" t="s">
        <v>3354</v>
      </c>
      <c r="D4" s="251" t="s">
        <v>3355</v>
      </c>
      <c r="E4" s="3770" t="s">
        <v>267</v>
      </c>
      <c r="F4" s="3812"/>
      <c r="G4" s="3812"/>
      <c r="H4" s="3812"/>
      <c r="I4" s="3771"/>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99" t="s">
        <v>268</v>
      </c>
      <c r="B5" s="3800">
        <v>25</v>
      </c>
      <c r="C5" s="3808"/>
      <c r="D5" s="3811"/>
      <c r="E5" s="252" t="s">
        <v>269</v>
      </c>
      <c r="F5" s="253"/>
      <c r="G5" s="253"/>
      <c r="H5" s="253"/>
      <c r="I5" s="254"/>
      <c r="J5" s="1753"/>
      <c r="K5" s="1752"/>
      <c r="L5" s="1752"/>
      <c r="M5" s="1752"/>
      <c r="N5" s="1752"/>
      <c r="O5" s="1752"/>
      <c r="P5" s="1752"/>
      <c r="Q5" s="1752"/>
      <c r="R5" s="1752"/>
      <c r="S5" s="1752"/>
      <c r="T5" s="1752"/>
      <c r="U5" s="1752"/>
      <c r="V5" s="1752"/>
    </row>
    <row r="6" spans="1:22" ht="14.25">
      <c r="A6" s="3799"/>
      <c r="B6" s="3800"/>
      <c r="C6" s="3809"/>
      <c r="D6" s="3811"/>
      <c r="E6" s="252" t="s">
        <v>270</v>
      </c>
      <c r="F6" s="253"/>
      <c r="G6" s="253"/>
      <c r="H6" s="253"/>
      <c r="I6" s="254"/>
      <c r="J6" s="1753"/>
      <c r="K6" s="1752"/>
      <c r="L6" s="1752"/>
      <c r="M6" s="1752"/>
      <c r="N6" s="1752"/>
      <c r="O6" s="1752"/>
      <c r="P6" s="1752"/>
      <c r="Q6" s="1752"/>
      <c r="R6" s="1752"/>
      <c r="S6" s="1752"/>
      <c r="T6" s="1752"/>
      <c r="U6" s="1752"/>
      <c r="V6" s="1752"/>
    </row>
    <row r="7" spans="1:22" ht="14.25">
      <c r="A7" s="3799"/>
      <c r="B7" s="3800"/>
      <c r="C7" s="3810"/>
      <c r="D7" s="3811"/>
      <c r="E7" s="252" t="s">
        <v>271</v>
      </c>
      <c r="F7" s="253"/>
      <c r="G7" s="253"/>
      <c r="H7" s="253"/>
      <c r="I7" s="254"/>
      <c r="J7" s="1753"/>
      <c r="K7" s="1752"/>
      <c r="L7" s="1752"/>
      <c r="M7" s="1752"/>
      <c r="N7" s="1752"/>
      <c r="O7" s="1752"/>
      <c r="P7" s="1752"/>
      <c r="Q7" s="1752"/>
      <c r="R7" s="1752"/>
      <c r="S7" s="1752"/>
      <c r="T7" s="1752"/>
      <c r="U7" s="1752"/>
      <c r="V7" s="1752"/>
    </row>
    <row r="8" spans="1:22" ht="14.25">
      <c r="A8" s="3799" t="s">
        <v>272</v>
      </c>
      <c r="B8" s="3800">
        <v>15</v>
      </c>
      <c r="C8" s="3808"/>
      <c r="D8" s="3811"/>
      <c r="E8" s="252" t="s">
        <v>273</v>
      </c>
      <c r="F8" s="253"/>
      <c r="G8" s="253"/>
      <c r="H8" s="253"/>
      <c r="I8" s="254"/>
      <c r="J8" s="1753"/>
      <c r="K8" s="1752"/>
      <c r="L8" s="1752"/>
      <c r="M8" s="1752"/>
      <c r="N8" s="1752"/>
      <c r="O8" s="1752"/>
      <c r="P8" s="1752"/>
      <c r="Q8" s="1752"/>
      <c r="R8" s="1752"/>
      <c r="S8" s="1752"/>
      <c r="T8" s="1752"/>
      <c r="U8" s="1752"/>
      <c r="V8" s="1752"/>
    </row>
    <row r="9" spans="1:22" ht="14.25">
      <c r="A9" s="3799"/>
      <c r="B9" s="3800"/>
      <c r="C9" s="3810"/>
      <c r="D9" s="3811"/>
      <c r="E9" s="252" t="s">
        <v>274</v>
      </c>
      <c r="F9" s="253"/>
      <c r="G9" s="253"/>
      <c r="H9" s="253"/>
      <c r="I9" s="254"/>
      <c r="J9" s="1753"/>
      <c r="K9" s="1752"/>
      <c r="L9" s="1752"/>
      <c r="M9" s="1752"/>
      <c r="N9" s="1752"/>
      <c r="O9" s="1752"/>
      <c r="P9" s="1752"/>
      <c r="Q9" s="1752"/>
      <c r="R9" s="1752"/>
      <c r="S9" s="1752"/>
      <c r="T9" s="1752"/>
      <c r="U9" s="1752"/>
      <c r="V9" s="1752"/>
    </row>
    <row r="10" spans="1:22" ht="14.25">
      <c r="A10" s="3799" t="s">
        <v>275</v>
      </c>
      <c r="B10" s="3800">
        <v>15</v>
      </c>
      <c r="C10" s="3808"/>
      <c r="D10" s="3811"/>
      <c r="E10" s="252" t="s">
        <v>276</v>
      </c>
      <c r="F10" s="253"/>
      <c r="G10" s="253"/>
      <c r="H10" s="253"/>
      <c r="I10" s="254"/>
      <c r="J10" s="1753"/>
      <c r="K10" s="1752"/>
      <c r="L10" s="1752"/>
      <c r="M10" s="1752"/>
      <c r="N10" s="1752"/>
      <c r="O10" s="1752"/>
      <c r="P10" s="1752"/>
      <c r="Q10" s="1752"/>
      <c r="R10" s="1752"/>
      <c r="S10" s="1752"/>
      <c r="T10" s="1752"/>
      <c r="U10" s="1752"/>
      <c r="V10" s="1752"/>
    </row>
    <row r="11" spans="1:22" ht="14.25">
      <c r="A11" s="3799"/>
      <c r="B11" s="3800"/>
      <c r="C11" s="3810"/>
      <c r="D11" s="3811"/>
      <c r="E11" s="252" t="s">
        <v>277</v>
      </c>
      <c r="F11" s="253"/>
      <c r="G11" s="253"/>
      <c r="H11" s="253"/>
      <c r="I11" s="254"/>
      <c r="J11" s="1753"/>
      <c r="K11" s="1752"/>
      <c r="L11" s="1752"/>
      <c r="M11" s="1752"/>
      <c r="N11" s="1752"/>
      <c r="O11" s="1752"/>
      <c r="P11" s="1752"/>
      <c r="Q11" s="1752"/>
      <c r="R11" s="1752"/>
      <c r="S11" s="1752"/>
      <c r="T11" s="1752"/>
      <c r="U11" s="1752"/>
      <c r="V11" s="1752"/>
    </row>
    <row r="12" spans="1:22" ht="14.25">
      <c r="A12" s="3799" t="s">
        <v>278</v>
      </c>
      <c r="B12" s="3800">
        <v>15</v>
      </c>
      <c r="C12" s="3808"/>
      <c r="D12" s="3811"/>
      <c r="E12" s="252" t="s">
        <v>279</v>
      </c>
      <c r="F12" s="253"/>
      <c r="G12" s="253"/>
      <c r="H12" s="253"/>
      <c r="I12" s="254"/>
      <c r="J12" s="1753"/>
      <c r="K12" s="1752"/>
      <c r="L12" s="1752"/>
      <c r="M12" s="1752"/>
      <c r="N12" s="1752"/>
      <c r="O12" s="1752"/>
      <c r="P12" s="1752"/>
      <c r="Q12" s="1752"/>
      <c r="R12" s="1752"/>
      <c r="S12" s="1752"/>
      <c r="T12" s="1752"/>
      <c r="U12" s="1752"/>
      <c r="V12" s="1752"/>
    </row>
    <row r="13" spans="1:22" ht="14.25">
      <c r="A13" s="3799"/>
      <c r="B13" s="3800"/>
      <c r="C13" s="3810"/>
      <c r="D13" s="3811"/>
      <c r="E13" s="252" t="s">
        <v>280</v>
      </c>
      <c r="F13" s="253"/>
      <c r="G13" s="253"/>
      <c r="H13" s="253"/>
      <c r="I13" s="254"/>
      <c r="J13" s="1753"/>
      <c r="K13" s="1752"/>
      <c r="L13" s="1752"/>
      <c r="M13" s="1752"/>
      <c r="N13" s="1752"/>
      <c r="O13" s="1752"/>
      <c r="P13" s="1752"/>
      <c r="Q13" s="1752"/>
      <c r="R13" s="1752"/>
      <c r="S13" s="1752"/>
      <c r="T13" s="1752"/>
      <c r="U13" s="1752"/>
      <c r="V13" s="1752"/>
    </row>
    <row r="14" spans="1:22" ht="14.25">
      <c r="A14" s="3799" t="s">
        <v>281</v>
      </c>
      <c r="B14" s="3800">
        <v>30</v>
      </c>
      <c r="C14" s="3808">
        <v>4</v>
      </c>
      <c r="D14" s="3811">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99"/>
      <c r="B15" s="3800"/>
      <c r="C15" s="3809"/>
      <c r="D15" s="3811"/>
      <c r="E15" s="252" t="s">
        <v>283</v>
      </c>
      <c r="F15" s="253"/>
      <c r="G15" s="253"/>
      <c r="H15" s="253"/>
      <c r="I15" s="254"/>
      <c r="J15" s="1753"/>
      <c r="K15" s="1752"/>
      <c r="L15" s="1752"/>
      <c r="M15" s="1752"/>
      <c r="N15" s="1752"/>
      <c r="O15" s="1752"/>
      <c r="P15" s="1752"/>
      <c r="Q15" s="1752"/>
      <c r="R15" s="1752"/>
      <c r="S15" s="1752"/>
      <c r="T15" s="1752"/>
      <c r="U15" s="1752"/>
      <c r="V15" s="1752"/>
    </row>
    <row r="16" spans="1:22" ht="14.25">
      <c r="A16" s="3799"/>
      <c r="B16" s="3800"/>
      <c r="C16" s="3810"/>
      <c r="D16" s="381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813" t="s">
        <v>2250</v>
      </c>
      <c r="F18" s="3814"/>
      <c r="G18" s="3814"/>
      <c r="H18" s="3814"/>
      <c r="I18" s="381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24463</v>
      </c>
      <c r="D19" s="262">
        <f ca="1">SUMIF(INDIRECT("'"&amp;D4&amp;"'"&amp;"!A:A"),结果表!B19,INDIRECT("'"&amp;D4&amp;"'"&amp;"!B:B"))</f>
        <v>60484</v>
      </c>
      <c r="E19" s="259" t="s">
        <v>289</v>
      </c>
      <c r="F19" s="260" t="s">
        <v>288</v>
      </c>
      <c r="G19" s="263">
        <f ca="1">ROUND(C19*$C$18+D19*$D$18,0)</f>
        <v>46076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832</v>
      </c>
      <c r="D20" s="268">
        <f ca="1">SUMIF(INDIRECT("'"&amp;D4&amp;"'"&amp;"!A:A"),结果表!B20,INDIRECT("'"&amp;D4&amp;"'"&amp;"!B:B"))</f>
        <v>2057</v>
      </c>
      <c r="E20" s="265"/>
      <c r="F20" s="266" t="s">
        <v>291</v>
      </c>
      <c r="G20" s="269">
        <f ca="1">ROUND(C20*$C$18+D20*$D$18,0)</f>
        <v>1567</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2870</v>
      </c>
      <c r="D21" s="144">
        <f ca="1">SUMIF(INDIRECT("'"&amp;D4&amp;"'"&amp;"!A:A"),结果表!B21,INDIRECT("'"&amp;D4&amp;"'"&amp;"!B:B"))</f>
        <v>7097</v>
      </c>
      <c r="E21" s="265"/>
      <c r="F21" s="271" t="s">
        <v>293</v>
      </c>
      <c r="G21" s="273">
        <f ca="1">ROUND(C21*$C$18+D21*$D$18,0)</f>
        <v>5406</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1.4724686260883786</v>
      </c>
      <c r="E22" s="275"/>
      <c r="F22" s="276"/>
      <c r="G22" s="277">
        <f ca="1">ROUND(G19/('数据-汇总表'!D3/666.67),0)</f>
        <v>360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19"/>
      <c r="B25" s="1190" t="s">
        <v>297</v>
      </c>
      <c r="C25" s="281">
        <f>IF(B30=0,0,C30)</f>
        <v>0</v>
      </c>
      <c r="D25" s="282"/>
      <c r="E25" s="302"/>
      <c r="F25" s="302"/>
      <c r="G25" s="302"/>
      <c r="H25" s="302"/>
      <c r="I25" s="302"/>
      <c r="J25" s="1752"/>
      <c r="K25" s="1124" t="str">
        <f ca="1">项目基本情况!A17&amp;"国有建设用地使用权价格："&amp;O38&amp;"万元"</f>
        <v>出让国有建设用地使用权价格：46076万元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大写金额：人民币肆亿陆仟零柒拾陆万元整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单位面积地价：5406元/平方米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楼面地价：1567元/平方米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2251</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5" t="s">
        <v>2252</v>
      </c>
      <c r="B31" s="3815"/>
      <c r="C31" s="3815"/>
      <c r="D31" s="3815"/>
      <c r="E31" s="3815"/>
      <c r="F31" s="3815"/>
      <c r="G31" s="3815"/>
      <c r="H31" s="3815"/>
      <c r="I31" s="381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46076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1567</v>
      </c>
      <c r="D33" s="1240" t="s">
        <v>1224</v>
      </c>
      <c r="E33" s="377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5406</v>
      </c>
      <c r="D34" s="1242" t="s">
        <v>1224</v>
      </c>
      <c r="E34" s="377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360</v>
      </c>
      <c r="D35" s="1245" t="s">
        <v>1226</v>
      </c>
      <c r="E35" s="3774"/>
      <c r="F35" s="292" t="s">
        <v>308</v>
      </c>
      <c r="G35" s="944"/>
      <c r="H35" s="943" t="s">
        <v>309</v>
      </c>
      <c r="I35" s="302"/>
      <c r="J35" s="1752"/>
      <c r="K35" s="3778" t="s">
        <v>316</v>
      </c>
      <c r="L35" s="3778" t="s">
        <v>317</v>
      </c>
      <c r="M35" s="1133" t="s">
        <v>318</v>
      </c>
      <c r="N35" s="3778" t="s">
        <v>319</v>
      </c>
      <c r="O35" s="3778" t="s">
        <v>320</v>
      </c>
      <c r="P35" s="1752"/>
      <c r="V35" s="1752"/>
    </row>
    <row r="36" spans="1:26" ht="16.5" customHeight="1">
      <c r="A36" s="294" t="s">
        <v>310</v>
      </c>
      <c r="B36" s="295" t="s">
        <v>299</v>
      </c>
      <c r="C36" s="296" t="s">
        <v>311</v>
      </c>
      <c r="D36" s="296" t="s">
        <v>312</v>
      </c>
      <c r="E36" s="297" t="s">
        <v>313</v>
      </c>
      <c r="F36" s="302"/>
      <c r="G36" s="302"/>
      <c r="H36" s="302"/>
      <c r="I36" s="302"/>
      <c r="J36" s="1754"/>
      <c r="K36" s="3779"/>
      <c r="L36" s="3779"/>
      <c r="M36" s="1135" t="s">
        <v>321</v>
      </c>
      <c r="N36" s="3779"/>
      <c r="O36" s="3779"/>
      <c r="P36" s="1752"/>
      <c r="V36" s="1752"/>
    </row>
    <row r="37" spans="1:26" ht="16.5" customHeight="1" thickBot="1">
      <c r="A37" s="1129" t="s">
        <v>314</v>
      </c>
      <c r="B37" s="298"/>
      <c r="C37" s="285"/>
      <c r="D37" s="285"/>
      <c r="E37" s="286"/>
      <c r="F37" s="302"/>
      <c r="G37" s="302"/>
      <c r="H37" s="302"/>
      <c r="I37" s="302"/>
      <c r="J37" s="1754"/>
      <c r="K37" s="3780"/>
      <c r="L37" s="3780"/>
      <c r="M37" s="1136"/>
      <c r="N37" s="3780"/>
      <c r="O37" s="3780"/>
      <c r="P37" s="1752"/>
      <c r="V37" s="1752"/>
    </row>
    <row r="38" spans="1:26" ht="16.5" customHeight="1" thickBot="1">
      <c r="A38" s="1129" t="s">
        <v>315</v>
      </c>
      <c r="B38" s="298"/>
      <c r="C38" s="285"/>
      <c r="D38" s="285"/>
      <c r="E38" s="286"/>
      <c r="F38" s="302"/>
      <c r="G38" s="302"/>
      <c r="H38" s="302"/>
      <c r="I38" s="302"/>
      <c r="J38" s="1754"/>
      <c r="K38" s="1137">
        <f>'数据-汇总表'!D3</f>
        <v>85225.54</v>
      </c>
      <c r="L38" s="1138">
        <f>'数据-汇总表'!E3</f>
        <v>294028.11</v>
      </c>
      <c r="M38" s="1138">
        <f ca="1">C34</f>
        <v>5406</v>
      </c>
      <c r="N38" s="1138">
        <f ca="1">C33</f>
        <v>1567</v>
      </c>
      <c r="O38" s="1139">
        <f ca="1">C32</f>
        <v>46076</v>
      </c>
      <c r="P38" s="1752"/>
      <c r="V38" s="1752"/>
    </row>
    <row r="39" spans="1:26" ht="16.5" customHeight="1" thickBot="1">
      <c r="A39" s="1134"/>
      <c r="B39" s="299"/>
      <c r="C39" s="300"/>
      <c r="D39" s="300"/>
      <c r="E39" s="301"/>
      <c r="F39" s="302"/>
      <c r="G39" s="302"/>
      <c r="H39" s="302"/>
      <c r="I39" s="302"/>
      <c r="J39" s="1754"/>
      <c r="K39" s="3791" t="str">
        <f>MID(A44,3,LEN(A44)-2)</f>
        <v/>
      </c>
      <c r="L39" s="3792"/>
      <c r="M39" s="3792"/>
      <c r="N39" s="3793"/>
      <c r="O39" s="1247" t="str">
        <f>C44</f>
        <v>——</v>
      </c>
      <c r="P39" s="1752"/>
      <c r="V39" s="1752"/>
    </row>
    <row r="40" spans="1:26" ht="19.5" thickBot="1">
      <c r="A40" s="100" t="s">
        <v>810</v>
      </c>
      <c r="B40" s="302"/>
      <c r="C40" s="302"/>
      <c r="D40" s="302"/>
      <c r="E40" s="302"/>
      <c r="F40" s="302"/>
      <c r="G40" s="302"/>
      <c r="H40" s="302"/>
      <c r="I40" s="302"/>
      <c r="J40" s="1754"/>
      <c r="K40" s="3791" t="str">
        <f>MID(A45,3,LEN(A45)-2)</f>
        <v/>
      </c>
      <c r="L40" s="3792"/>
      <c r="M40" s="3792"/>
      <c r="N40" s="3793"/>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1" t="str">
        <f>MID(A46,3,LEN(A46)-2)</f>
        <v/>
      </c>
      <c r="L41" s="3792"/>
      <c r="M41" s="3792"/>
      <c r="N41" s="3793"/>
      <c r="O41" s="1247" t="str">
        <f>C46</f>
        <v>——</v>
      </c>
      <c r="P41" s="1752"/>
      <c r="V41" s="1752"/>
    </row>
    <row r="42" spans="1:26" ht="29.25">
      <c r="A42" s="3820" t="s">
        <v>1585</v>
      </c>
      <c r="B42" s="3821"/>
      <c r="C42" s="255">
        <f ca="1">C32</f>
        <v>46076</v>
      </c>
      <c r="D42" s="308">
        <f ca="1">C33</f>
        <v>1567</v>
      </c>
      <c r="E42" s="308">
        <f ca="1">C34</f>
        <v>5406</v>
      </c>
      <c r="F42" s="309">
        <f ca="1">C35</f>
        <v>360</v>
      </c>
      <c r="G42" s="302"/>
      <c r="H42" s="302"/>
      <c r="I42" s="310"/>
      <c r="J42" s="1754"/>
      <c r="K42" s="1140" t="s">
        <v>327</v>
      </c>
      <c r="L42" s="1771" t="s">
        <v>328</v>
      </c>
      <c r="M42" s="1141" t="s">
        <v>329</v>
      </c>
      <c r="N42" s="1772" t="s">
        <v>330</v>
      </c>
      <c r="O42" s="1773" t="s">
        <v>331</v>
      </c>
      <c r="P42" s="1752"/>
      <c r="V42" s="1752"/>
    </row>
    <row r="43" spans="1:26" ht="18">
      <c r="A43" s="3830" t="s">
        <v>2012</v>
      </c>
      <c r="B43" s="3831"/>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24463</v>
      </c>
      <c r="M43" s="1144">
        <f>C18</f>
        <v>0.4</v>
      </c>
      <c r="N43" s="1145">
        <f ca="1">IF(N42="测算结果/万元",G19,G20)</f>
        <v>46076</v>
      </c>
      <c r="O43" s="1146">
        <f ca="1">IF(O42="最终结果/万元",C32,C33)</f>
        <v>46076</v>
      </c>
      <c r="P43" s="1752"/>
      <c r="V43" s="1752"/>
    </row>
    <row r="44" spans="1:26" ht="18.75" thickBot="1">
      <c r="A44" s="3820" t="str">
        <f>IF(OR(项目基本情况!E8="抵押价格",项目基本情况!E8="已注销及未注销"),"3.抵押价格","——")</f>
        <v>——</v>
      </c>
      <c r="B44" s="3821"/>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剩余法-待开发</v>
      </c>
      <c r="L44" s="1148">
        <f ca="1">IF(L42="估价结果/万元",D19,D20)</f>
        <v>60484</v>
      </c>
      <c r="M44" s="1149">
        <f>D18</f>
        <v>0.6</v>
      </c>
      <c r="N44" s="1150"/>
      <c r="O44" s="1151"/>
      <c r="P44" s="1752"/>
      <c r="V44" s="1752"/>
    </row>
    <row r="45" spans="1:26" ht="15">
      <c r="A45" s="3825" t="str">
        <f>IF(项目基本情况!E8="已注销及未注销","4.抵押担保权已注销时的抵押价格",IF(项目基本情况!E8="已注销","3.抵押担保权已注销时的抵押价格","——"))</f>
        <v>——</v>
      </c>
      <c r="B45" s="382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2" t="str">
        <f>IF(项目基本情况!E9="抵押净值",IF(A45="——","4.抵押净值","5.抵押净值"),"——")</f>
        <v>——</v>
      </c>
      <c r="B46" s="382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3" t="s">
        <v>340</v>
      </c>
      <c r="B63" s="3784"/>
      <c r="C63" s="3785"/>
      <c r="D63" s="332">
        <f ca="1">ROUND(C42*F63,0)</f>
        <v>46076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7" t="s">
        <v>344</v>
      </c>
      <c r="B64" s="3828"/>
      <c r="C64" s="3828"/>
      <c r="D64" s="3828"/>
      <c r="E64" s="3828"/>
      <c r="F64" s="3828"/>
      <c r="G64" s="382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4" t="s">
        <v>352</v>
      </c>
      <c r="B66" s="3790"/>
      <c r="C66" s="3790"/>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51" t="s">
        <v>351</v>
      </c>
      <c r="M66" s="3752"/>
      <c r="N66" s="2110"/>
      <c r="O66" s="2111"/>
      <c r="P66" s="2112"/>
      <c r="Q66" s="1752"/>
      <c r="R66" s="1752"/>
      <c r="S66" s="1752"/>
      <c r="T66" s="1752"/>
      <c r="U66" s="1752"/>
      <c r="V66" s="1752"/>
    </row>
    <row r="67" spans="1:22" ht="25.5" customHeight="1">
      <c r="A67" s="343" t="s">
        <v>355</v>
      </c>
      <c r="B67" s="3802" t="s">
        <v>356</v>
      </c>
      <c r="C67" s="3802"/>
      <c r="D67" s="344">
        <v>0</v>
      </c>
      <c r="E67" s="39" t="s">
        <v>357</v>
      </c>
      <c r="F67" s="60" t="s">
        <v>15</v>
      </c>
      <c r="G67" s="3786"/>
      <c r="H67" s="2749" t="s">
        <v>2253</v>
      </c>
      <c r="I67" s="2751"/>
      <c r="J67" s="1759"/>
      <c r="K67" s="1731">
        <v>2</v>
      </c>
      <c r="L67" s="3756" t="s">
        <v>354</v>
      </c>
      <c r="M67" s="3756"/>
      <c r="N67" s="1194">
        <f>'数据-取费表'!B2</f>
        <v>44929</v>
      </c>
      <c r="O67" s="1194"/>
      <c r="P67" s="1194"/>
      <c r="Q67" s="1752"/>
      <c r="R67" s="1752"/>
      <c r="S67" s="1752"/>
      <c r="T67" s="1752"/>
      <c r="U67" s="1752"/>
      <c r="V67" s="1752"/>
    </row>
    <row r="68" spans="1:22" ht="25.5" customHeight="1">
      <c r="A68" s="345"/>
      <c r="B68" s="3802" t="s">
        <v>359</v>
      </c>
      <c r="C68" s="3802"/>
      <c r="D68" s="346"/>
      <c r="E68" s="75"/>
      <c r="F68" s="347"/>
      <c r="G68" s="3787"/>
      <c r="H68" s="2750" t="s">
        <v>2254</v>
      </c>
      <c r="I68" s="2751"/>
      <c r="J68" s="1759"/>
      <c r="K68" s="1731">
        <v>3</v>
      </c>
      <c r="L68" s="3756" t="s">
        <v>358</v>
      </c>
      <c r="M68" s="3756"/>
      <c r="N68" s="1162">
        <f ca="1">C42</f>
        <v>46076</v>
      </c>
      <c r="O68" s="1162"/>
      <c r="P68" s="1162"/>
      <c r="Q68" s="1752"/>
      <c r="R68" s="1752"/>
      <c r="S68" s="1752"/>
      <c r="T68" s="1752"/>
      <c r="U68" s="1752"/>
      <c r="V68" s="1752"/>
    </row>
    <row r="69" spans="1:22" ht="23.45" customHeight="1">
      <c r="A69" s="348"/>
      <c r="B69" s="3802" t="s">
        <v>360</v>
      </c>
      <c r="C69" s="3802"/>
      <c r="D69" s="349"/>
      <c r="E69" s="71"/>
      <c r="F69" s="347"/>
      <c r="G69" s="3788"/>
      <c r="H69" s="2750" t="s">
        <v>2255</v>
      </c>
      <c r="I69" s="2751"/>
      <c r="J69" s="1759"/>
      <c r="K69" s="1163">
        <v>4</v>
      </c>
      <c r="L69" s="3757" t="s">
        <v>2157</v>
      </c>
      <c r="M69" s="3758"/>
      <c r="N69" s="1164" t="str">
        <f>C44</f>
        <v>——</v>
      </c>
      <c r="O69" s="1164"/>
      <c r="P69" s="1164"/>
      <c r="Q69" s="1752"/>
      <c r="R69" s="1752"/>
      <c r="S69" s="1752"/>
      <c r="T69" s="1752"/>
      <c r="U69" s="1752"/>
      <c r="V69" s="1752"/>
    </row>
    <row r="70" spans="1:22" ht="24" customHeight="1">
      <c r="A70" s="350" t="s">
        <v>361</v>
      </c>
      <c r="B70" s="3802" t="s">
        <v>362</v>
      </c>
      <c r="C70" s="3802"/>
      <c r="D70" s="349">
        <f ca="1">ROUND(D63*'数据-取费表'!B41/(1+'数据-取费表'!C42),0)</f>
        <v>2457</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1" t="s">
        <v>2282</v>
      </c>
      <c r="C71" s="3818"/>
      <c r="D71" s="349">
        <f ca="1">ROUND(D63*'数据-取费表'!B41/(1+'数据-取费表'!C42),0)</f>
        <v>2457</v>
      </c>
      <c r="E71" s="15" t="s">
        <v>363</v>
      </c>
      <c r="F71" s="351">
        <f>'数据-取费表'!B41</f>
        <v>5.6000000000000001E-2</v>
      </c>
      <c r="G71" s="352"/>
      <c r="H71" s="302"/>
      <c r="I71" s="1161"/>
      <c r="J71" s="1759"/>
      <c r="K71" s="2521" t="s">
        <v>364</v>
      </c>
      <c r="L71" s="3759" t="s">
        <v>365</v>
      </c>
      <c r="M71" s="3759"/>
      <c r="N71" s="2521" t="s">
        <v>366</v>
      </c>
      <c r="O71" s="2521" t="s">
        <v>367</v>
      </c>
      <c r="P71" s="2521" t="s">
        <v>368</v>
      </c>
      <c r="Q71" s="1752"/>
      <c r="R71" s="1752"/>
      <c r="S71" s="1752"/>
      <c r="T71" s="1752"/>
      <c r="U71" s="1752"/>
      <c r="V71" s="1752"/>
    </row>
    <row r="72" spans="1:22" ht="12" customHeight="1">
      <c r="A72" s="350" t="s">
        <v>371</v>
      </c>
      <c r="B72" s="3801" t="s">
        <v>2283</v>
      </c>
      <c r="C72" s="3818"/>
      <c r="D72" s="349">
        <f ca="1">C86</f>
        <v>2457</v>
      </c>
      <c r="E72" s="71" t="s">
        <v>372</v>
      </c>
      <c r="F72" s="351">
        <f>'数据-取费表'!B41</f>
        <v>5.6000000000000001E-2</v>
      </c>
      <c r="G72" s="352"/>
      <c r="H72" s="1167"/>
      <c r="I72" s="1161"/>
      <c r="J72" s="1759"/>
      <c r="K72" s="1731">
        <v>1</v>
      </c>
      <c r="L72" s="3755" t="s">
        <v>370</v>
      </c>
      <c r="M72" s="3755"/>
      <c r="N72" s="1165" t="b">
        <f>D66</f>
        <v>0</v>
      </c>
      <c r="O72" s="1636" t="str">
        <f>E66</f>
        <v>销售额×税（费）率</v>
      </c>
      <c r="P72" s="1166">
        <f>F66</f>
        <v>5.6000000000000001E-2</v>
      </c>
      <c r="Q72" s="1752"/>
      <c r="R72" s="1752"/>
      <c r="S72" s="1752"/>
      <c r="T72" s="1752"/>
      <c r="U72" s="1752"/>
      <c r="V72" s="1752"/>
    </row>
    <row r="73" spans="1:22" ht="24" customHeight="1">
      <c r="A73" s="3789" t="s">
        <v>374</v>
      </c>
      <c r="B73" s="3790"/>
      <c r="C73" s="3790"/>
      <c r="D73" s="353">
        <f ca="1">IF(H73="个人住宅",0,ROUND(D63*I73,0))</f>
        <v>23</v>
      </c>
      <c r="E73" s="15" t="s">
        <v>375</v>
      </c>
      <c r="F73" s="351" t="str">
        <f>IF(H73="正常",I73,"免征")</f>
        <v>免征</v>
      </c>
      <c r="G73" s="352"/>
      <c r="H73" s="184"/>
      <c r="I73" s="351">
        <f>'数据-取费表'!B49</f>
        <v>5.0000000000000001E-4</v>
      </c>
      <c r="J73" s="1759"/>
      <c r="K73" s="1731">
        <v>2</v>
      </c>
      <c r="L73" s="3755" t="s">
        <v>373</v>
      </c>
      <c r="M73" s="3755"/>
      <c r="N73" s="1165">
        <f t="shared" ref="N73:P74" ca="1" si="0">D73</f>
        <v>23</v>
      </c>
      <c r="O73" s="1636" t="str">
        <f t="shared" si="0"/>
        <v>销售额×税（费）率</v>
      </c>
      <c r="P73" s="1166" t="str">
        <f t="shared" si="0"/>
        <v>免征</v>
      </c>
      <c r="Q73" s="1752"/>
      <c r="R73" s="1752"/>
      <c r="S73" s="1752"/>
      <c r="T73" s="1752"/>
      <c r="U73" s="1752"/>
      <c r="V73" s="1752"/>
    </row>
    <row r="74" spans="1:22" ht="24.75">
      <c r="A74" s="3789" t="s">
        <v>377</v>
      </c>
      <c r="B74" s="3790"/>
      <c r="C74" s="3790"/>
      <c r="D74" s="353">
        <f ca="1">IF(H74="个人住宅",D75,D76)</f>
        <v>26079</v>
      </c>
      <c r="E74" s="15" t="s">
        <v>378</v>
      </c>
      <c r="F74" s="351" t="str">
        <f>IF(H74="正常",F76,"免征")</f>
        <v>免征</v>
      </c>
      <c r="G74" s="945" t="s">
        <v>379</v>
      </c>
      <c r="H74" s="354"/>
      <c r="I74" s="40"/>
      <c r="J74" s="1759"/>
      <c r="K74" s="1731">
        <v>3</v>
      </c>
      <c r="L74" s="3755" t="s">
        <v>376</v>
      </c>
      <c r="M74" s="3755"/>
      <c r="N74" s="1165">
        <f t="shared" ca="1" si="0"/>
        <v>26079</v>
      </c>
      <c r="O74" s="1636" t="str">
        <f t="shared" si="0"/>
        <v>增值额×税（费）率</v>
      </c>
      <c r="P74" s="1168" t="str">
        <f t="shared" si="0"/>
        <v>免征</v>
      </c>
      <c r="Q74" s="1752"/>
      <c r="R74" s="1752"/>
      <c r="S74" s="1752"/>
      <c r="T74" s="1752"/>
      <c r="U74" s="1752"/>
      <c r="V74" s="1752"/>
    </row>
    <row r="75" spans="1:22" ht="12.75">
      <c r="A75" s="350" t="s">
        <v>380</v>
      </c>
      <c r="B75" s="3770" t="s">
        <v>381</v>
      </c>
      <c r="C75" s="3771"/>
      <c r="D75" s="355">
        <v>0</v>
      </c>
      <c r="E75" s="39" t="s">
        <v>382</v>
      </c>
      <c r="F75" s="356"/>
      <c r="G75" s="352"/>
      <c r="H75" s="40"/>
      <c r="I75" s="40"/>
      <c r="J75" s="1759"/>
      <c r="K75" s="2515">
        <f>IF(H77="非个人房产","",4)</f>
        <v>4</v>
      </c>
      <c r="L75" s="3755" t="str">
        <f>IF(H77="非个人房产","——","个人所得税")</f>
        <v>个人所得税</v>
      </c>
      <c r="M75" s="3755"/>
      <c r="N75" s="1169">
        <f>D77</f>
        <v>0</v>
      </c>
      <c r="O75" s="1637" t="str">
        <f>E77</f>
        <v>差额计税</v>
      </c>
      <c r="P75" s="1170">
        <f>F77</f>
        <v>0.01</v>
      </c>
      <c r="Q75" s="1752"/>
      <c r="R75" s="1752"/>
      <c r="S75" s="1752"/>
      <c r="T75" s="1752"/>
      <c r="U75" s="1752"/>
      <c r="V75" s="1752"/>
    </row>
    <row r="76" spans="1:22" ht="24.75">
      <c r="A76" s="350" t="s">
        <v>361</v>
      </c>
      <c r="B76" s="3770" t="s">
        <v>384</v>
      </c>
      <c r="C76" s="3812"/>
      <c r="D76" s="353">
        <f ca="1">IF(H76="转让取得",C99,C115)</f>
        <v>26079</v>
      </c>
      <c r="E76" s="15" t="s">
        <v>385</v>
      </c>
      <c r="F76" s="51" t="s">
        <v>15</v>
      </c>
      <c r="G76" s="352"/>
      <c r="H76" s="354"/>
      <c r="I76" s="40"/>
      <c r="J76" s="1759"/>
      <c r="K76" s="2515" t="str">
        <f>IF(项目基本情况!K6="上海银行",IF(K75="",4,K75+1),"")</f>
        <v/>
      </c>
      <c r="L76" s="3766" t="str">
        <f>IF(项目基本情况!K6="上海银行","其他处置费用","")</f>
        <v/>
      </c>
      <c r="M76" s="3767"/>
      <c r="N76" s="1165" t="str">
        <f>IF(项目基本情况!K6="上海银行",N89,"")</f>
        <v/>
      </c>
      <c r="O76" s="3768" t="str">
        <f>IF(项目基本情况!K6="上海银行","包含处置中涉及的律师、诉讼、拍卖、评估等费用","")</f>
        <v/>
      </c>
      <c r="P76" s="3769"/>
      <c r="Q76" s="1752"/>
      <c r="R76" s="1752"/>
      <c r="S76" s="1752"/>
      <c r="T76" s="1752"/>
      <c r="U76" s="1752"/>
      <c r="V76" s="1752"/>
    </row>
    <row r="77" spans="1:22" ht="24.75" thickBot="1">
      <c r="A77" s="3781" t="s">
        <v>387</v>
      </c>
      <c r="B77" s="3782"/>
      <c r="C77" s="378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2256</v>
      </c>
      <c r="J77" s="1759"/>
      <c r="K77" s="3777">
        <f>IF(AND(K75="",K76=""),4,IF(项目基本情况!K6="上海银行",K76+1,K75+1))</f>
        <v>5</v>
      </c>
      <c r="L77" s="3755" t="s">
        <v>2158</v>
      </c>
      <c r="M77" s="2520" t="s">
        <v>383</v>
      </c>
      <c r="N77" s="1171"/>
      <c r="O77" s="1172">
        <f ca="1">SUMIF(N72:N76,"&lt;9e307")</f>
        <v>26102</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77"/>
      <c r="L78" s="3755"/>
      <c r="M78" s="2520" t="s">
        <v>386</v>
      </c>
      <c r="N78" s="1171"/>
      <c r="O78" s="1172" t="str">
        <f ca="1">NUMBERSTRING(INT(O77*10000),2)&amp;"元整"</f>
        <v>贰亿陆仟壹佰零贰万元整</v>
      </c>
      <c r="P78" s="1173"/>
      <c r="Q78" s="1752"/>
      <c r="R78" s="1752"/>
      <c r="S78" s="1752"/>
      <c r="T78" s="1752"/>
      <c r="U78" s="1752"/>
      <c r="V78" s="1752"/>
    </row>
    <row r="79" spans="1:22" ht="13.5" thickBot="1">
      <c r="A79" s="3832" t="s">
        <v>388</v>
      </c>
      <c r="B79" s="3832"/>
      <c r="C79" s="3832"/>
      <c r="D79" s="3832"/>
      <c r="E79" s="3832"/>
      <c r="F79" s="40"/>
      <c r="G79" s="40"/>
      <c r="H79" s="965"/>
      <c r="I79" s="302"/>
      <c r="J79" s="1759"/>
      <c r="K79" s="3753">
        <f>K77+1</f>
        <v>6</v>
      </c>
      <c r="L79" s="3755" t="s">
        <v>2159</v>
      </c>
      <c r="M79" s="2520" t="s">
        <v>383</v>
      </c>
      <c r="N79" s="1171"/>
      <c r="O79" s="1172" t="e">
        <f ca="1">N69-O77</f>
        <v>#VALUE!</v>
      </c>
      <c r="P79" s="1173"/>
      <c r="Q79" s="1752"/>
      <c r="R79" s="1752"/>
      <c r="S79" s="1752"/>
      <c r="T79" s="1752"/>
      <c r="U79" s="1752"/>
      <c r="V79" s="1752"/>
    </row>
    <row r="80" spans="1:22" ht="12.75">
      <c r="A80" s="3763" t="s">
        <v>389</v>
      </c>
      <c r="B80" s="3764"/>
      <c r="C80" s="956"/>
      <c r="D80" s="956" t="s">
        <v>390</v>
      </c>
      <c r="E80" s="357" t="s">
        <v>391</v>
      </c>
      <c r="F80" s="40"/>
      <c r="G80" s="40"/>
      <c r="H80" s="965"/>
      <c r="I80" s="302"/>
      <c r="J80" s="1752"/>
      <c r="K80" s="3754"/>
      <c r="L80" s="3755"/>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43882</v>
      </c>
      <c r="D81" s="360"/>
      <c r="E81" s="361"/>
      <c r="F81" s="40"/>
      <c r="G81" s="40"/>
      <c r="H81" s="965"/>
      <c r="I81" s="302"/>
      <c r="J81" s="1752"/>
      <c r="K81" s="2515">
        <f>K79+1</f>
        <v>7</v>
      </c>
      <c r="L81" s="3775" t="s">
        <v>2160</v>
      </c>
      <c r="M81" s="3776"/>
      <c r="N81" s="1175"/>
      <c r="O81" s="1176" t="e">
        <f ca="1">ROUND(O79*10000/'数据-汇总表'!E3,0)</f>
        <v>#VALUE!</v>
      </c>
      <c r="P81" s="1177"/>
      <c r="Q81" s="1752"/>
      <c r="R81" s="1752"/>
      <c r="S81" s="1752"/>
      <c r="T81" s="1752"/>
      <c r="U81" s="1752"/>
      <c r="V81" s="1752"/>
    </row>
    <row r="82" spans="1:26" ht="13.5" thickTop="1">
      <c r="A82" s="362" t="s">
        <v>1353</v>
      </c>
      <c r="B82" s="363" t="s">
        <v>393</v>
      </c>
      <c r="C82" s="364">
        <f ca="1">D63</f>
        <v>46076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5"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2199</v>
      </c>
      <c r="F84" s="40"/>
      <c r="G84" s="40"/>
      <c r="H84" s="965"/>
      <c r="I84" s="302"/>
      <c r="J84" s="1752"/>
      <c r="K84" s="3765"/>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43882</v>
      </c>
      <c r="D85" s="365" t="s">
        <v>13</v>
      </c>
      <c r="E85" s="366"/>
      <c r="F85" s="40"/>
      <c r="G85" s="40"/>
      <c r="H85" s="965"/>
      <c r="I85" s="302"/>
      <c r="J85" s="1752"/>
      <c r="K85" s="3765"/>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2457</v>
      </c>
      <c r="D86" s="376">
        <f>'数据-取费表'!B41</f>
        <v>5.6000000000000001E-2</v>
      </c>
      <c r="E86" s="377"/>
      <c r="F86" s="40"/>
      <c r="G86" s="40"/>
      <c r="H86" s="965"/>
      <c r="I86" s="302"/>
      <c r="J86" s="1752"/>
      <c r="K86" s="3765"/>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5"/>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4" t="s">
        <v>398</v>
      </c>
      <c r="B88" s="3805"/>
      <c r="C88" s="3805"/>
      <c r="D88" s="3805"/>
      <c r="E88" s="3805"/>
      <c r="F88" s="3805"/>
      <c r="G88" s="3805"/>
      <c r="H88" s="3805"/>
      <c r="I88" s="1184"/>
      <c r="J88" s="1760"/>
      <c r="K88" s="3765"/>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63" t="s">
        <v>389</v>
      </c>
      <c r="B89" s="3764"/>
      <c r="C89" s="956"/>
      <c r="D89" s="956" t="s">
        <v>390</v>
      </c>
      <c r="E89" s="378" t="s">
        <v>399</v>
      </c>
      <c r="F89" s="379"/>
      <c r="G89" s="379"/>
      <c r="H89" s="380"/>
      <c r="I89" s="1185"/>
      <c r="J89" s="1762"/>
      <c r="K89" s="3765"/>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43882</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263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1" t="s">
        <v>407</v>
      </c>
      <c r="F94" s="3802"/>
      <c r="G94" s="3802"/>
      <c r="H94" s="380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263</v>
      </c>
      <c r="D96" s="393">
        <f>'数据-取费表'!B43</f>
        <v>6.000000000000001E-3</v>
      </c>
      <c r="E96" s="3760" t="s">
        <v>1780</v>
      </c>
      <c r="F96" s="3761"/>
      <c r="G96" s="3761"/>
      <c r="H96" s="376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43619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165.85171102661596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26079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4" t="s">
        <v>414</v>
      </c>
      <c r="B101" s="3805"/>
      <c r="C101" s="3805"/>
      <c r="D101" s="3805"/>
      <c r="E101" s="3805"/>
      <c r="F101" s="3805"/>
      <c r="G101" s="3805"/>
      <c r="H101" s="380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3" t="s">
        <v>389</v>
      </c>
      <c r="B102" s="376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43882</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263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6" t="s">
        <v>2248</v>
      </c>
      <c r="H108" s="3817"/>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4" t="s">
        <v>422</v>
      </c>
      <c r="F109" s="3761"/>
      <c r="G109" s="376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4" t="s">
        <v>424</v>
      </c>
      <c r="F110" s="3761"/>
      <c r="G110" s="3761"/>
      <c r="H110" s="3762"/>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263</v>
      </c>
      <c r="D111" s="393">
        <f>'数据-取费表'!B43</f>
        <v>6.000000000000001E-3</v>
      </c>
      <c r="E111" s="3760" t="s">
        <v>1780</v>
      </c>
      <c r="F111" s="3761"/>
      <c r="G111" s="3761"/>
      <c r="H111" s="376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4" t="s">
        <v>1799</v>
      </c>
      <c r="F112" s="3761"/>
      <c r="G112" s="3761"/>
      <c r="H112" s="376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43619</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165.85171102661596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26079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6" zoomScale="85" zoomScaleNormal="95" zoomScaleSheetLayoutView="85" workbookViewId="0">
      <selection activeCell="D51" sqref="D51"/>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24463</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832</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2870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191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0" t="s">
        <v>471</v>
      </c>
      <c r="D6" s="3861"/>
      <c r="E6" s="3860" t="s">
        <v>472</v>
      </c>
      <c r="F6" s="3861"/>
      <c r="G6" s="3860" t="s">
        <v>473</v>
      </c>
      <c r="H6" s="3861"/>
      <c r="I6" s="3860" t="s">
        <v>474</v>
      </c>
      <c r="J6" s="3861"/>
      <c r="K6" s="484" t="s">
        <v>475</v>
      </c>
      <c r="L6" s="1856"/>
      <c r="M6" s="1855"/>
      <c r="N6" s="1855"/>
      <c r="O6" s="1857"/>
      <c r="P6" s="3862" t="s">
        <v>476</v>
      </c>
      <c r="Q6" s="3863"/>
      <c r="R6" s="3846" t="s">
        <v>472</v>
      </c>
      <c r="S6" s="3847"/>
      <c r="T6" s="3846" t="s">
        <v>473</v>
      </c>
      <c r="U6" s="3847"/>
      <c r="V6" s="3868" t="s">
        <v>474</v>
      </c>
      <c r="W6" s="3868"/>
      <c r="X6" s="1380"/>
      <c r="Y6" s="3846" t="s">
        <v>476</v>
      </c>
      <c r="Z6" s="3847"/>
      <c r="AA6" s="3841" t="s">
        <v>472</v>
      </c>
      <c r="AB6" s="3842" t="s">
        <v>473</v>
      </c>
      <c r="AC6" s="3841" t="s">
        <v>474</v>
      </c>
    </row>
    <row r="7" spans="1:30" ht="20.25">
      <c r="A7" s="485"/>
      <c r="B7" s="486"/>
      <c r="C7" s="3871" t="s">
        <v>2188</v>
      </c>
      <c r="D7" s="3872"/>
      <c r="E7" s="3871" t="str">
        <f>Sheet1!A2</f>
        <v>海州区香海湖路北、为民路东</v>
      </c>
      <c r="F7" s="3872"/>
      <c r="G7" s="3871" t="str">
        <f>Sheet1!A3</f>
        <v>海州区郁洲南路东、梧桐路南</v>
      </c>
      <c r="H7" s="3872"/>
      <c r="I7" s="3871" t="str">
        <f>Sheet1!A4</f>
        <v>海州区郁洲南路西、支三路南、香海湖北</v>
      </c>
      <c r="J7" s="3872"/>
      <c r="K7" s="484"/>
      <c r="L7" s="1856"/>
      <c r="M7" s="1855"/>
      <c r="N7" s="1855"/>
      <c r="O7" s="1857"/>
      <c r="P7" s="3864"/>
      <c r="Q7" s="3865"/>
      <c r="R7" s="3848"/>
      <c r="S7" s="3849"/>
      <c r="T7" s="3848"/>
      <c r="U7" s="3849"/>
      <c r="V7" s="3868"/>
      <c r="W7" s="3868"/>
      <c r="X7" s="1380"/>
      <c r="Y7" s="3848"/>
      <c r="Z7" s="3849"/>
      <c r="AA7" s="3842"/>
      <c r="AB7" s="3842"/>
      <c r="AC7" s="3842"/>
    </row>
    <row r="8" spans="1:30" ht="21" thickBot="1">
      <c r="A8" s="485"/>
      <c r="B8" s="486"/>
      <c r="C8" s="3873" t="s">
        <v>2192</v>
      </c>
      <c r="D8" s="3874"/>
      <c r="E8" s="3873" t="s">
        <v>2192</v>
      </c>
      <c r="F8" s="3874"/>
      <c r="G8" s="3869" t="s">
        <v>2192</v>
      </c>
      <c r="H8" s="3870"/>
      <c r="I8" s="3869" t="s">
        <v>2192</v>
      </c>
      <c r="J8" s="3870"/>
      <c r="K8" s="484" t="s">
        <v>477</v>
      </c>
      <c r="L8" s="1856"/>
      <c r="M8" s="1855"/>
      <c r="N8" s="1855"/>
      <c r="O8" s="1857"/>
      <c r="P8" s="3866"/>
      <c r="Q8" s="3867"/>
      <c r="R8" s="3848"/>
      <c r="S8" s="3849"/>
      <c r="T8" s="3850"/>
      <c r="U8" s="3851"/>
      <c r="V8" s="3868"/>
      <c r="W8" s="3868"/>
      <c r="X8" s="1380"/>
      <c r="Y8" s="3850"/>
      <c r="Z8" s="3851"/>
      <c r="AA8" s="3843"/>
      <c r="AB8" s="3843"/>
      <c r="AC8" s="3843"/>
    </row>
    <row r="9" spans="1:30" s="1118" customFormat="1" ht="21" thickBot="1">
      <c r="A9" s="2392"/>
      <c r="B9" s="2399" t="s">
        <v>478</v>
      </c>
      <c r="C9" s="2391">
        <f>'数据-取费表'!B2</f>
        <v>44929</v>
      </c>
      <c r="D9" s="490">
        <v>100</v>
      </c>
      <c r="E9" s="491" t="str">
        <f>Sheet1!S2</f>
        <v>2020-09-11</v>
      </c>
      <c r="F9" s="492">
        <f>SUMIF(71:71,YEAR(E9)&amp;"-"&amp;INT((MONTH(E9)+2)/3),72:72)</f>
        <v>99.000000000000057</v>
      </c>
      <c r="G9" s="493" t="str">
        <f>Sheet1!S3</f>
        <v>2018-03-01</v>
      </c>
      <c r="H9" s="490">
        <f>SUMIF(71:71,YEAR(G9)&amp;"-"&amp;INT((MONTH(G9)+2)/3),72:72)</f>
        <v>98.000000000000114</v>
      </c>
      <c r="I9" s="493" t="str">
        <f>Sheet1!S4</f>
        <v>2018-03-01</v>
      </c>
      <c r="J9" s="490">
        <f>SUMIF(71:71,YEAR(I9)&amp;"-"&amp;INT((MONTH(I9)+2)/3),72:72)</f>
        <v>98.000000000000114</v>
      </c>
      <c r="K9" s="494"/>
      <c r="L9" s="1858"/>
      <c r="M9" s="1855"/>
      <c r="N9" s="1855"/>
      <c r="O9" s="1859"/>
      <c r="P9" s="3844" t="s">
        <v>479</v>
      </c>
      <c r="Q9" s="3853"/>
      <c r="R9" s="1381" t="s">
        <v>5</v>
      </c>
      <c r="S9" s="1382">
        <f t="shared" ref="S9:S17" si="0">F9</f>
        <v>99.000000000000057</v>
      </c>
      <c r="T9" s="1381" t="s">
        <v>5</v>
      </c>
      <c r="U9" s="1382">
        <f t="shared" ref="U9:U17" si="1">H9</f>
        <v>98.000000000000114</v>
      </c>
      <c r="V9" s="1381" t="s">
        <v>5</v>
      </c>
      <c r="W9" s="1382">
        <f t="shared" ref="W9:W17" si="2">J9</f>
        <v>98.000000000000114</v>
      </c>
      <c r="X9" s="1383"/>
      <c r="Y9" s="3844" t="s">
        <v>479</v>
      </c>
      <c r="Z9" s="3845"/>
      <c r="AA9" s="1384">
        <f>D9/F9</f>
        <v>1.0101010101010095</v>
      </c>
      <c r="AB9" s="1384">
        <f>D9/H9</f>
        <v>1.020408163265305</v>
      </c>
      <c r="AC9" s="1384">
        <f>D9/J9</f>
        <v>1.020408163265305</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844" t="s">
        <v>482</v>
      </c>
      <c r="Q10" s="3845"/>
      <c r="R10" s="1381" t="s">
        <v>5</v>
      </c>
      <c r="S10" s="1382">
        <f t="shared" si="0"/>
        <v>100</v>
      </c>
      <c r="T10" s="1381" t="s">
        <v>5</v>
      </c>
      <c r="U10" s="1382">
        <f t="shared" si="1"/>
        <v>100</v>
      </c>
      <c r="V10" s="1381" t="s">
        <v>5</v>
      </c>
      <c r="W10" s="1382">
        <f t="shared" si="2"/>
        <v>100</v>
      </c>
      <c r="X10" s="1383"/>
      <c r="Y10" s="3844" t="s">
        <v>482</v>
      </c>
      <c r="Z10" s="3845"/>
      <c r="AA10" s="1384">
        <f t="shared" ref="AA10:AA47" si="3">D10/F10</f>
        <v>1</v>
      </c>
      <c r="AB10" s="1384">
        <f t="shared" ref="AB10:AB47" si="4">D10/H10</f>
        <v>1</v>
      </c>
      <c r="AC10" s="1384">
        <f t="shared" ref="AC10:AC47" si="5">D10/J10</f>
        <v>1</v>
      </c>
    </row>
    <row r="11" spans="1:30" s="1118" customFormat="1" ht="20.25">
      <c r="A11" s="2394"/>
      <c r="B11" s="2401" t="s">
        <v>2038</v>
      </c>
      <c r="C11" s="2388" t="s">
        <v>2738</v>
      </c>
      <c r="D11" s="245">
        <v>100</v>
      </c>
      <c r="E11" s="2388" t="s">
        <v>2738</v>
      </c>
      <c r="F11" s="245">
        <f>SUMIF(76:76,E11,77:77)-SUMIF(76:76,C11,77:77)+100</f>
        <v>100</v>
      </c>
      <c r="G11" s="2388" t="s">
        <v>2738</v>
      </c>
      <c r="H11" s="245">
        <f>SUMIF(76:76,G11,77:77)-SUMIF(76:76,C11,77:77)+100</f>
        <v>100</v>
      </c>
      <c r="I11" s="2388" t="s">
        <v>2738</v>
      </c>
      <c r="J11" s="245">
        <f>SUMIF(76:76,I11,77:77)-SUMIF(76:76,C11,77:77)+100</f>
        <v>100</v>
      </c>
      <c r="K11" s="494"/>
      <c r="L11" s="1858"/>
      <c r="M11" s="1855"/>
      <c r="N11" s="1855"/>
      <c r="O11" s="1860"/>
      <c r="P11" s="3852" t="s">
        <v>484</v>
      </c>
      <c r="Q11" s="1050" t="str">
        <f t="shared" ref="Q11:Q17" si="6">B11</f>
        <v>用途</v>
      </c>
      <c r="R11" s="1381" t="s">
        <v>5</v>
      </c>
      <c r="S11" s="1382">
        <f t="shared" si="0"/>
        <v>100</v>
      </c>
      <c r="T11" s="1381" t="s">
        <v>5</v>
      </c>
      <c r="U11" s="1382">
        <f t="shared" si="1"/>
        <v>100</v>
      </c>
      <c r="V11" s="1381" t="s">
        <v>5</v>
      </c>
      <c r="W11" s="1382">
        <f t="shared" si="2"/>
        <v>100</v>
      </c>
      <c r="X11" s="1383"/>
      <c r="Y11" s="380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110</v>
      </c>
      <c r="G12" s="500"/>
      <c r="H12" s="246">
        <f>ROUND(100/'数据-取费表'!G16,0)</f>
        <v>110</v>
      </c>
      <c r="I12" s="500"/>
      <c r="J12" s="246">
        <f>ROUND(100/'数据-取费表'!G16,0)</f>
        <v>110</v>
      </c>
      <c r="K12" s="501"/>
      <c r="L12" s="1861"/>
      <c r="M12" s="1855"/>
      <c r="N12" s="1855"/>
      <c r="O12" s="1862"/>
      <c r="P12" s="3852"/>
      <c r="Q12" s="1050" t="str">
        <f t="shared" si="6"/>
        <v>土地使用年限（年）</v>
      </c>
      <c r="R12" s="1381" t="s">
        <v>5</v>
      </c>
      <c r="S12" s="1382">
        <f t="shared" si="0"/>
        <v>110</v>
      </c>
      <c r="T12" s="1381" t="s">
        <v>5</v>
      </c>
      <c r="U12" s="1382">
        <f t="shared" si="1"/>
        <v>110</v>
      </c>
      <c r="V12" s="1381" t="s">
        <v>5</v>
      </c>
      <c r="W12" s="1382">
        <f t="shared" si="2"/>
        <v>110</v>
      </c>
      <c r="X12" s="1383"/>
      <c r="Y12" s="3800"/>
      <c r="Z12" s="1049" t="str">
        <f t="shared" si="7"/>
        <v>土地使用年限（年）</v>
      </c>
      <c r="AA12" s="1384">
        <f t="shared" si="3"/>
        <v>0.90909090909090906</v>
      </c>
      <c r="AB12" s="1384">
        <f t="shared" si="4"/>
        <v>0.90909090909090906</v>
      </c>
      <c r="AC12" s="1384">
        <f t="shared" si="5"/>
        <v>0.90909090909090906</v>
      </c>
    </row>
    <row r="13" spans="1:30" ht="20.25">
      <c r="A13" s="2396"/>
      <c r="B13" s="2400" t="s">
        <v>2040</v>
      </c>
      <c r="C13" s="504">
        <f>'数据-汇总表'!I6</f>
        <v>3.45</v>
      </c>
      <c r="D13" s="246">
        <v>100</v>
      </c>
      <c r="E13" s="503">
        <v>1.5</v>
      </c>
      <c r="F13" s="246">
        <f>LOOKUP(E13,81:81,82:82)-LOOKUP(C13,81:81,82:82)+100</f>
        <v>104</v>
      </c>
      <c r="G13" s="503">
        <v>1.5</v>
      </c>
      <c r="H13" s="246">
        <f>LOOKUP(G13,81:81,82:82)-LOOKUP(C13,81:81,82:82)+100</f>
        <v>104</v>
      </c>
      <c r="I13" s="503">
        <v>1.5</v>
      </c>
      <c r="J13" s="246">
        <f>LOOKUP(I13,81:81,82:82)-LOOKUP(C13,81:81,82:82)+100</f>
        <v>104</v>
      </c>
      <c r="K13" s="3987">
        <v>2</v>
      </c>
      <c r="L13" s="1863"/>
      <c r="M13" s="1855"/>
      <c r="N13" s="1855"/>
      <c r="O13" s="1864"/>
      <c r="P13" s="3852"/>
      <c r="Q13" s="1050" t="str">
        <f t="shared" si="6"/>
        <v>容积率</v>
      </c>
      <c r="R13" s="1381" t="s">
        <v>5</v>
      </c>
      <c r="S13" s="1382">
        <f t="shared" si="0"/>
        <v>104</v>
      </c>
      <c r="T13" s="1381" t="s">
        <v>5</v>
      </c>
      <c r="U13" s="1382">
        <f t="shared" si="1"/>
        <v>104</v>
      </c>
      <c r="V13" s="1381" t="s">
        <v>5</v>
      </c>
      <c r="W13" s="1382">
        <f t="shared" si="2"/>
        <v>104</v>
      </c>
      <c r="X13" s="1383"/>
      <c r="Y13" s="3800"/>
      <c r="Z13" s="1049" t="str">
        <f t="shared" si="7"/>
        <v>容积率</v>
      </c>
      <c r="AA13" s="1384">
        <f t="shared" si="3"/>
        <v>0.96153846153846156</v>
      </c>
      <c r="AB13" s="1384">
        <f t="shared" si="4"/>
        <v>0.96153846153846156</v>
      </c>
      <c r="AC13" s="1384">
        <f t="shared" si="5"/>
        <v>0.96153846153846156</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2"/>
      <c r="Q14" s="1050" t="str">
        <f t="shared" si="6"/>
        <v>配建</v>
      </c>
      <c r="R14" s="1381" t="s">
        <v>5</v>
      </c>
      <c r="S14" s="1382">
        <f t="shared" si="0"/>
        <v>100</v>
      </c>
      <c r="T14" s="1381" t="s">
        <v>5</v>
      </c>
      <c r="U14" s="1382">
        <f t="shared" si="1"/>
        <v>100</v>
      </c>
      <c r="V14" s="1381" t="s">
        <v>5</v>
      </c>
      <c r="W14" s="1382">
        <f t="shared" si="2"/>
        <v>100</v>
      </c>
      <c r="X14" s="1383"/>
      <c r="Y14" s="380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2"/>
      <c r="Q15" s="1050">
        <f t="shared" si="6"/>
        <v>111</v>
      </c>
      <c r="R15" s="1381" t="s">
        <v>5</v>
      </c>
      <c r="S15" s="1382">
        <f t="shared" si="0"/>
        <v>100</v>
      </c>
      <c r="T15" s="1381" t="s">
        <v>5</v>
      </c>
      <c r="U15" s="1382">
        <f t="shared" si="1"/>
        <v>100</v>
      </c>
      <c r="V15" s="1381" t="s">
        <v>5</v>
      </c>
      <c r="W15" s="1382">
        <f t="shared" si="2"/>
        <v>100</v>
      </c>
      <c r="X15" s="1383"/>
      <c r="Y15" s="380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2"/>
      <c r="Q16" s="1050">
        <f t="shared" si="6"/>
        <v>111</v>
      </c>
      <c r="R16" s="1381" t="s">
        <v>5</v>
      </c>
      <c r="S16" s="1382">
        <f t="shared" si="0"/>
        <v>100</v>
      </c>
      <c r="T16" s="1381" t="s">
        <v>5</v>
      </c>
      <c r="U16" s="1382">
        <f t="shared" si="1"/>
        <v>100</v>
      </c>
      <c r="V16" s="1381" t="s">
        <v>5</v>
      </c>
      <c r="W16" s="1382">
        <f t="shared" si="2"/>
        <v>100</v>
      </c>
      <c r="X16" s="1383"/>
      <c r="Y16" s="3800"/>
      <c r="Z16" s="1049">
        <f t="shared" si="7"/>
        <v>111</v>
      </c>
      <c r="AA16" s="1384">
        <f>D16/F16</f>
        <v>1</v>
      </c>
      <c r="AB16" s="1384">
        <f>D16/H16</f>
        <v>1</v>
      </c>
      <c r="AC16" s="1384">
        <f>D16/J16</f>
        <v>1</v>
      </c>
    </row>
    <row r="17" spans="1:29" ht="18.75" customHeight="1">
      <c r="A17" s="2390" t="s">
        <v>2036</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4" t="s">
        <v>489</v>
      </c>
      <c r="Q17" s="1385" t="str">
        <f t="shared" si="6"/>
        <v>居住社区成熟度</v>
      </c>
      <c r="R17" s="1386" t="s">
        <v>5</v>
      </c>
      <c r="S17" s="1387">
        <f t="shared" si="0"/>
        <v>100</v>
      </c>
      <c r="T17" s="1386" t="s">
        <v>5</v>
      </c>
      <c r="U17" s="1387">
        <f t="shared" si="1"/>
        <v>100</v>
      </c>
      <c r="V17" s="1386" t="s">
        <v>5</v>
      </c>
      <c r="W17" s="1387">
        <f t="shared" si="2"/>
        <v>100</v>
      </c>
      <c r="X17" s="1380"/>
      <c r="Y17" s="385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5"/>
      <c r="Q18" s="1385"/>
      <c r="R18" s="1386"/>
      <c r="S18" s="1387"/>
      <c r="T18" s="1386"/>
      <c r="U18" s="1387"/>
      <c r="V18" s="1386"/>
      <c r="W18" s="1387"/>
      <c r="X18" s="1380"/>
      <c r="Y18" s="3855"/>
      <c r="Z18" s="1388"/>
      <c r="AA18" s="1389">
        <v>1</v>
      </c>
      <c r="AB18" s="1389">
        <v>1</v>
      </c>
      <c r="AC18" s="1389">
        <v>1</v>
      </c>
    </row>
    <row r="19" spans="1:29" ht="71.25">
      <c r="A19" s="502"/>
      <c r="B19" s="530" t="s">
        <v>490</v>
      </c>
      <c r="C19" s="531" t="str">
        <f>估价对象房地状况!C16</f>
        <v>估价对象周边商业氛围成熟度一般，人流量一般，住宅底商为主，商业繁华度一般</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5"/>
      <c r="Q19" s="1385" t="str">
        <f>B19</f>
        <v>商业繁华度</v>
      </c>
      <c r="R19" s="1386" t="s">
        <v>5</v>
      </c>
      <c r="S19" s="1387">
        <f>F19</f>
        <v>100</v>
      </c>
      <c r="T19" s="1386" t="s">
        <v>5</v>
      </c>
      <c r="U19" s="1387">
        <f>H19</f>
        <v>100</v>
      </c>
      <c r="V19" s="1386" t="s">
        <v>5</v>
      </c>
      <c r="W19" s="1387">
        <f>J19</f>
        <v>100</v>
      </c>
      <c r="X19" s="1380"/>
      <c r="Y19" s="3855"/>
      <c r="Z19" s="1388" t="str">
        <f>Q19</f>
        <v>商业繁华度</v>
      </c>
      <c r="AA19" s="1389">
        <f t="shared" si="3"/>
        <v>1</v>
      </c>
      <c r="AB19" s="1389">
        <f t="shared" si="4"/>
        <v>1</v>
      </c>
      <c r="AC19" s="1389">
        <f t="shared" si="5"/>
        <v>1</v>
      </c>
    </row>
    <row r="20" spans="1:29" ht="20.25">
      <c r="A20" s="502"/>
      <c r="B20" s="536"/>
      <c r="C20" s="537" t="s">
        <v>3344</v>
      </c>
      <c r="D20" s="533"/>
      <c r="E20" s="537" t="s">
        <v>3344</v>
      </c>
      <c r="F20" s="529"/>
      <c r="G20" s="537" t="s">
        <v>3344</v>
      </c>
      <c r="H20" s="525"/>
      <c r="I20" s="537" t="s">
        <v>3344</v>
      </c>
      <c r="J20" s="525"/>
      <c r="K20" s="501"/>
      <c r="L20" s="1865"/>
      <c r="M20" s="1855"/>
      <c r="N20" s="1855"/>
      <c r="O20" s="1864"/>
      <c r="P20" s="3855"/>
      <c r="Q20" s="1385"/>
      <c r="R20" s="1386"/>
      <c r="S20" s="1387"/>
      <c r="T20" s="1386"/>
      <c r="U20" s="1387"/>
      <c r="V20" s="1386"/>
      <c r="W20" s="1387"/>
      <c r="X20" s="1380"/>
      <c r="Y20" s="3855"/>
      <c r="Z20" s="1388"/>
      <c r="AA20" s="1389">
        <v>1</v>
      </c>
      <c r="AB20" s="1389">
        <v>1</v>
      </c>
      <c r="AC20" s="1389">
        <v>1</v>
      </c>
    </row>
    <row r="21" spans="1:29" ht="71.25">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5"/>
      <c r="Q21" s="1385" t="str">
        <f>B21</f>
        <v>办公集聚程度</v>
      </c>
      <c r="R21" s="1386" t="s">
        <v>5</v>
      </c>
      <c r="S21" s="1387">
        <f>F21</f>
        <v>100</v>
      </c>
      <c r="T21" s="1386" t="s">
        <v>5</v>
      </c>
      <c r="U21" s="1387">
        <f>H21</f>
        <v>100</v>
      </c>
      <c r="V21" s="1386" t="s">
        <v>5</v>
      </c>
      <c r="W21" s="1387">
        <f>J21</f>
        <v>100</v>
      </c>
      <c r="X21" s="1380"/>
      <c r="Y21" s="385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5"/>
      <c r="Q22" s="1385"/>
      <c r="R22" s="1386"/>
      <c r="S22" s="1387"/>
      <c r="T22" s="1386"/>
      <c r="U22" s="1387"/>
      <c r="V22" s="1386"/>
      <c r="W22" s="1387"/>
      <c r="X22" s="1380"/>
      <c r="Y22" s="3855"/>
      <c r="Z22" s="1388"/>
      <c r="AA22" s="1389">
        <v>1</v>
      </c>
      <c r="AB22" s="1389">
        <v>1</v>
      </c>
      <c r="AC22" s="1389">
        <v>1</v>
      </c>
    </row>
    <row r="23" spans="1:29" ht="85.5">
      <c r="A23" s="502"/>
      <c r="B23" s="530" t="s">
        <v>492</v>
      </c>
      <c r="C23" s="543" t="str">
        <f>估价对象房地状况!C18</f>
        <v>估价对象周边道路状况一般、公共交通通达情况较差，有5、122路经过、停车便捷程度，综合评价交通便捷度一般</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5"/>
      <c r="Q23" s="1385" t="str">
        <f>B23</f>
        <v>交通便捷度</v>
      </c>
      <c r="R23" s="1386" t="s">
        <v>5</v>
      </c>
      <c r="S23" s="1387">
        <f>F23</f>
        <v>100</v>
      </c>
      <c r="T23" s="1386" t="s">
        <v>5</v>
      </c>
      <c r="U23" s="1387">
        <f>H23</f>
        <v>100</v>
      </c>
      <c r="V23" s="1386" t="s">
        <v>5</v>
      </c>
      <c r="W23" s="1387">
        <f>J23</f>
        <v>100</v>
      </c>
      <c r="X23" s="1380"/>
      <c r="Y23" s="385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5"/>
      <c r="Q24" s="1385"/>
      <c r="R24" s="1386"/>
      <c r="S24" s="1387"/>
      <c r="T24" s="1386"/>
      <c r="U24" s="1387"/>
      <c r="V24" s="1386"/>
      <c r="W24" s="1387"/>
      <c r="X24" s="1380"/>
      <c r="Y24" s="385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5"/>
      <c r="Q25" s="1385" t="str">
        <f t="shared" ref="Q25:Q39" si="8">B25</f>
        <v>区域土地利用方向</v>
      </c>
      <c r="R25" s="1386" t="s">
        <v>5</v>
      </c>
      <c r="S25" s="1387">
        <f>F25</f>
        <v>100</v>
      </c>
      <c r="T25" s="1386" t="s">
        <v>5</v>
      </c>
      <c r="U25" s="1387">
        <f>H25</f>
        <v>100</v>
      </c>
      <c r="V25" s="1386" t="s">
        <v>5</v>
      </c>
      <c r="W25" s="1387">
        <f>J25</f>
        <v>100</v>
      </c>
      <c r="X25" s="1380"/>
      <c r="Y25" s="385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5"/>
      <c r="Q26" s="1385"/>
      <c r="R26" s="1386"/>
      <c r="S26" s="1387"/>
      <c r="T26" s="1386"/>
      <c r="U26" s="1387"/>
      <c r="V26" s="1386"/>
      <c r="W26" s="1387"/>
      <c r="X26" s="1380"/>
      <c r="Y26" s="3855"/>
      <c r="Z26" s="1388"/>
      <c r="AA26" s="1389"/>
      <c r="AB26" s="1389"/>
      <c r="AC26" s="1389"/>
    </row>
    <row r="27" spans="1:29" ht="57">
      <c r="A27" s="485"/>
      <c r="B27" s="548" t="s">
        <v>494</v>
      </c>
      <c r="C27" s="531" t="str">
        <f>估价对象房地状况!C20</f>
        <v>区域自然环境：；人文环境；综合评价环境状况较差</v>
      </c>
      <c r="D27" s="533">
        <v>100</v>
      </c>
      <c r="E27" s="534"/>
      <c r="F27" s="529">
        <f>SUMIF(99:99,E28,100:100)-SUMIF(99:99,C28,100:100)+100</f>
        <v>95</v>
      </c>
      <c r="G27" s="532"/>
      <c r="H27" s="529">
        <f>SUMIF(99:99,G28,100:100)-SUMIF(99:99,C28,100:100)+100</f>
        <v>95</v>
      </c>
      <c r="I27" s="534"/>
      <c r="J27" s="529">
        <f>SUMIF(99:99,I28,100:100)-SUMIF(99:99,C28,100:100)+100</f>
        <v>95</v>
      </c>
      <c r="K27" s="505">
        <v>5</v>
      </c>
      <c r="L27" s="1865"/>
      <c r="M27" s="1855"/>
      <c r="N27" s="1855"/>
      <c r="O27" s="1864"/>
      <c r="P27" s="3855"/>
      <c r="Q27" s="1385" t="str">
        <f t="shared" si="8"/>
        <v>自然及人文环境状况</v>
      </c>
      <c r="R27" s="1386" t="s">
        <v>5</v>
      </c>
      <c r="S27" s="1387">
        <f>F27</f>
        <v>95</v>
      </c>
      <c r="T27" s="1386" t="s">
        <v>5</v>
      </c>
      <c r="U27" s="1387">
        <f>H27</f>
        <v>95</v>
      </c>
      <c r="V27" s="1386" t="s">
        <v>5</v>
      </c>
      <c r="W27" s="1387">
        <f>J27</f>
        <v>95</v>
      </c>
      <c r="X27" s="1380"/>
      <c r="Y27" s="3855"/>
      <c r="Z27" s="1388" t="str">
        <f>Q27</f>
        <v>自然及人文环境状况</v>
      </c>
      <c r="AA27" s="1389">
        <f t="shared" si="3"/>
        <v>1.0526315789473684</v>
      </c>
      <c r="AB27" s="1389">
        <f t="shared" si="4"/>
        <v>1.0526315789473684</v>
      </c>
      <c r="AC27" s="1389">
        <f t="shared" si="5"/>
        <v>1.0526315789473684</v>
      </c>
    </row>
    <row r="28" spans="1:29" ht="20.25">
      <c r="A28" s="485"/>
      <c r="B28" s="536"/>
      <c r="C28" s="524" t="s">
        <v>3349</v>
      </c>
      <c r="D28" s="527"/>
      <c r="E28" s="546" t="s">
        <v>3344</v>
      </c>
      <c r="F28" s="525"/>
      <c r="G28" s="546" t="s">
        <v>3344</v>
      </c>
      <c r="H28" s="525"/>
      <c r="I28" s="546" t="s">
        <v>3344</v>
      </c>
      <c r="J28" s="525"/>
      <c r="K28" s="501"/>
      <c r="L28" s="1865"/>
      <c r="M28" s="1855"/>
      <c r="N28" s="1855"/>
      <c r="O28" s="1864"/>
      <c r="P28" s="3855"/>
      <c r="Q28" s="1385"/>
      <c r="R28" s="1386"/>
      <c r="S28" s="1387"/>
      <c r="T28" s="1386"/>
      <c r="U28" s="1387"/>
      <c r="V28" s="1386"/>
      <c r="W28" s="1387"/>
      <c r="X28" s="1380"/>
      <c r="Y28" s="3855"/>
      <c r="Z28" s="1388"/>
      <c r="AA28" s="1389">
        <v>1</v>
      </c>
      <c r="AB28" s="1389">
        <v>1</v>
      </c>
      <c r="AC28" s="1389">
        <v>1</v>
      </c>
    </row>
    <row r="29" spans="1:29" s="1118" customFormat="1" ht="42.75">
      <c r="A29" s="547"/>
      <c r="B29" s="2199" t="s">
        <v>1831</v>
      </c>
      <c r="C29" s="543" t="str">
        <f>估价对象房地状况!C21</f>
        <v>估价对象所在区域公共配套设施齐备情况较差</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5"/>
      <c r="Q29" s="1050" t="str">
        <f t="shared" si="8"/>
        <v>公共配套设施</v>
      </c>
      <c r="R29" s="1381" t="s">
        <v>5</v>
      </c>
      <c r="S29" s="1382">
        <f>F29</f>
        <v>100</v>
      </c>
      <c r="T29" s="1381" t="s">
        <v>5</v>
      </c>
      <c r="U29" s="1382">
        <f>H29</f>
        <v>100</v>
      </c>
      <c r="V29" s="1381" t="s">
        <v>5</v>
      </c>
      <c r="W29" s="1382">
        <f>J29</f>
        <v>100</v>
      </c>
      <c r="X29" s="1383"/>
      <c r="Y29" s="385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5"/>
      <c r="Q30" s="1050"/>
      <c r="R30" s="1381"/>
      <c r="S30" s="1382"/>
      <c r="T30" s="1381"/>
      <c r="U30" s="1382"/>
      <c r="V30" s="1381"/>
      <c r="W30" s="1382"/>
      <c r="X30" s="1383"/>
      <c r="Y30" s="3855"/>
      <c r="Z30" s="1049"/>
      <c r="AA30" s="1389">
        <v>1</v>
      </c>
      <c r="AB30" s="1389">
        <v>1</v>
      </c>
      <c r="AC30" s="1389">
        <v>1</v>
      </c>
    </row>
    <row r="31" spans="1:29" s="1118" customFormat="1" ht="28.5">
      <c r="A31" s="547"/>
      <c r="B31" s="2199" t="s">
        <v>1832</v>
      </c>
      <c r="C31" s="543" t="str">
        <f>估价对象房地状况!C22</f>
        <v>六通</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5"/>
      <c r="Q31" s="2192" t="str">
        <f>B31</f>
        <v>基础设施水平</v>
      </c>
      <c r="R31" s="1381" t="s">
        <v>5</v>
      </c>
      <c r="S31" s="1382">
        <f>F31</f>
        <v>100</v>
      </c>
      <c r="T31" s="1381" t="s">
        <v>5</v>
      </c>
      <c r="U31" s="1382">
        <f>H31</f>
        <v>100</v>
      </c>
      <c r="V31" s="1381" t="s">
        <v>5</v>
      </c>
      <c r="W31" s="1382">
        <f>J31</f>
        <v>100</v>
      </c>
      <c r="X31" s="1383"/>
      <c r="Y31" s="3855"/>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5"/>
      <c r="Q32" s="2192"/>
      <c r="R32" s="1381"/>
      <c r="S32" s="1382"/>
      <c r="T32" s="1381"/>
      <c r="U32" s="1382"/>
      <c r="V32" s="1381"/>
      <c r="W32" s="1382"/>
      <c r="X32" s="1383"/>
      <c r="Y32" s="3855"/>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5"/>
      <c r="Q34" s="1385" t="str">
        <f t="shared" si="8"/>
        <v>毗邻道路的类型与等级</v>
      </c>
      <c r="R34" s="1386" t="s">
        <v>5</v>
      </c>
      <c r="S34" s="1387">
        <f t="shared" si="9"/>
        <v>100</v>
      </c>
      <c r="T34" s="1386" t="s">
        <v>5</v>
      </c>
      <c r="U34" s="1387">
        <f t="shared" si="10"/>
        <v>100</v>
      </c>
      <c r="V34" s="1386" t="s">
        <v>5</v>
      </c>
      <c r="W34" s="1387">
        <f t="shared" si="11"/>
        <v>100</v>
      </c>
      <c r="X34" s="1380"/>
      <c r="Y34" s="385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5"/>
      <c r="Q35" s="1385"/>
      <c r="R35" s="1386"/>
      <c r="S35" s="1387"/>
      <c r="T35" s="1386"/>
      <c r="U35" s="1387"/>
      <c r="V35" s="1386"/>
      <c r="W35" s="1387"/>
      <c r="X35" s="1380"/>
      <c r="Y35" s="385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5"/>
      <c r="Q36" s="1385" t="str">
        <f t="shared" si="8"/>
        <v>土地级别</v>
      </c>
      <c r="R36" s="1386" t="s">
        <v>5</v>
      </c>
      <c r="S36" s="1387">
        <f t="shared" si="9"/>
        <v>100</v>
      </c>
      <c r="T36" s="1386" t="s">
        <v>5</v>
      </c>
      <c r="U36" s="1387">
        <f t="shared" si="10"/>
        <v>100</v>
      </c>
      <c r="V36" s="1386" t="s">
        <v>5</v>
      </c>
      <c r="W36" s="1387">
        <f t="shared" si="11"/>
        <v>100</v>
      </c>
      <c r="X36" s="1380"/>
      <c r="Y36" s="385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5"/>
      <c r="Q37" s="1385">
        <f t="shared" si="8"/>
        <v>111</v>
      </c>
      <c r="R37" s="1386" t="s">
        <v>5</v>
      </c>
      <c r="S37" s="1387">
        <f t="shared" si="9"/>
        <v>100</v>
      </c>
      <c r="T37" s="1386" t="s">
        <v>5</v>
      </c>
      <c r="U37" s="1387">
        <f t="shared" si="10"/>
        <v>100</v>
      </c>
      <c r="V37" s="1386" t="s">
        <v>5</v>
      </c>
      <c r="W37" s="1387">
        <f t="shared" si="11"/>
        <v>100</v>
      </c>
      <c r="X37" s="1380"/>
      <c r="Y37" s="385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6" t="s">
        <v>499</v>
      </c>
      <c r="Q38" s="1385">
        <f t="shared" si="8"/>
        <v>111</v>
      </c>
      <c r="R38" s="1386" t="s">
        <v>5</v>
      </c>
      <c r="S38" s="1387">
        <f t="shared" si="9"/>
        <v>100</v>
      </c>
      <c r="T38" s="1386" t="s">
        <v>5</v>
      </c>
      <c r="U38" s="1387">
        <f t="shared" si="10"/>
        <v>100</v>
      </c>
      <c r="V38" s="1386" t="s">
        <v>5</v>
      </c>
      <c r="W38" s="1387">
        <f t="shared" si="11"/>
        <v>100</v>
      </c>
      <c r="X38" s="1380"/>
      <c r="Y38" s="385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7"/>
      <c r="Q39" s="1385">
        <f t="shared" si="8"/>
        <v>111</v>
      </c>
      <c r="R39" s="1390" t="s">
        <v>5</v>
      </c>
      <c r="S39" s="1391">
        <f t="shared" si="9"/>
        <v>100</v>
      </c>
      <c r="T39" s="1390" t="s">
        <v>5</v>
      </c>
      <c r="U39" s="1391">
        <f t="shared" si="10"/>
        <v>100</v>
      </c>
      <c r="V39" s="1390" t="s">
        <v>5</v>
      </c>
      <c r="W39" s="1391">
        <f t="shared" si="11"/>
        <v>100</v>
      </c>
      <c r="X39" s="1392"/>
      <c r="Y39" s="3857"/>
      <c r="Z39" s="1393">
        <f t="shared" si="12"/>
        <v>111</v>
      </c>
      <c r="AA39" s="1389">
        <f t="shared" si="3"/>
        <v>1</v>
      </c>
      <c r="AB39" s="1389">
        <f t="shared" si="4"/>
        <v>1</v>
      </c>
      <c r="AC39" s="1389">
        <f t="shared" si="5"/>
        <v>1</v>
      </c>
    </row>
    <row r="40" spans="1:29" ht="20.25">
      <c r="A40" s="2387" t="s">
        <v>2037</v>
      </c>
      <c r="B40" s="565" t="s">
        <v>501</v>
      </c>
      <c r="C40" s="566">
        <f>'数据-汇总表'!D3</f>
        <v>85225.54</v>
      </c>
      <c r="D40" s="567">
        <v>100</v>
      </c>
      <c r="E40" s="566">
        <f>Sheet1!J2</f>
        <v>43392</v>
      </c>
      <c r="F40" s="567">
        <f>LOOKUP(E40,118:118,119:119)-LOOKUP(C40,118:118,119:119)+100</f>
        <v>97</v>
      </c>
      <c r="G40" s="566">
        <f>Sheet1!J3</f>
        <v>22989</v>
      </c>
      <c r="H40" s="567">
        <f>LOOKUP(G40,118:118,119:119)-LOOKUP(C40,118:118,119:119)+100</f>
        <v>94</v>
      </c>
      <c r="I40" s="568">
        <f>Sheet1!J4</f>
        <v>26568</v>
      </c>
      <c r="J40" s="567">
        <f>LOOKUP(I40,118:118,119:119)-LOOKUP(C40,118:118,119:119)+100</f>
        <v>94</v>
      </c>
      <c r="K40" s="551"/>
      <c r="L40" s="1865"/>
      <c r="M40" s="1855"/>
      <c r="N40" s="1855"/>
      <c r="O40" s="1864"/>
      <c r="P40" s="3857"/>
      <c r="Q40" s="1385" t="str">
        <f>B40</f>
        <v>宗地面积</v>
      </c>
      <c r="R40" s="1386" t="s">
        <v>5</v>
      </c>
      <c r="S40" s="1387">
        <f t="shared" si="9"/>
        <v>97</v>
      </c>
      <c r="T40" s="1386" t="s">
        <v>5</v>
      </c>
      <c r="U40" s="1387">
        <f t="shared" si="10"/>
        <v>94</v>
      </c>
      <c r="V40" s="1386" t="s">
        <v>5</v>
      </c>
      <c r="W40" s="1387">
        <f t="shared" si="11"/>
        <v>94</v>
      </c>
      <c r="X40" s="1380"/>
      <c r="Y40" s="3857"/>
      <c r="Z40" s="1388" t="str">
        <f t="shared" si="12"/>
        <v>宗地面积</v>
      </c>
      <c r="AA40" s="1389">
        <f t="shared" si="3"/>
        <v>1.0309278350515463</v>
      </c>
      <c r="AB40" s="1389">
        <f t="shared" si="4"/>
        <v>1.0638297872340425</v>
      </c>
      <c r="AC40" s="1389">
        <f t="shared" si="5"/>
        <v>1.0638297872340425</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7"/>
      <c r="Q41" s="1385" t="str">
        <f t="shared" ref="Q41:Q47" si="13">B41</f>
        <v>宗地形状</v>
      </c>
      <c r="R41" s="1386" t="s">
        <v>5</v>
      </c>
      <c r="S41" s="1387">
        <f t="shared" si="9"/>
        <v>100</v>
      </c>
      <c r="T41" s="1386" t="s">
        <v>5</v>
      </c>
      <c r="U41" s="1387">
        <f t="shared" si="10"/>
        <v>100</v>
      </c>
      <c r="V41" s="1386" t="s">
        <v>5</v>
      </c>
      <c r="W41" s="1387">
        <f t="shared" si="11"/>
        <v>100</v>
      </c>
      <c r="X41" s="1380"/>
      <c r="Y41" s="385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7"/>
      <c r="Q42" s="1385" t="str">
        <f t="shared" si="13"/>
        <v>临街宽度及深度</v>
      </c>
      <c r="R42" s="1386" t="s">
        <v>5</v>
      </c>
      <c r="S42" s="1387">
        <f t="shared" si="9"/>
        <v>100</v>
      </c>
      <c r="T42" s="1386" t="s">
        <v>5</v>
      </c>
      <c r="U42" s="1387">
        <f t="shared" si="10"/>
        <v>100</v>
      </c>
      <c r="V42" s="1386" t="s">
        <v>5</v>
      </c>
      <c r="W42" s="1387">
        <f t="shared" si="11"/>
        <v>100</v>
      </c>
      <c r="X42" s="1380"/>
      <c r="Y42" s="3857"/>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7"/>
      <c r="Q43" s="1385" t="str">
        <f t="shared" si="13"/>
        <v>宗地开发程度</v>
      </c>
      <c r="R43" s="1381" t="s">
        <v>5</v>
      </c>
      <c r="S43" s="1382">
        <f t="shared" si="9"/>
        <v>100</v>
      </c>
      <c r="T43" s="1381" t="s">
        <v>5</v>
      </c>
      <c r="U43" s="1382">
        <f t="shared" si="10"/>
        <v>100</v>
      </c>
      <c r="V43" s="1381" t="s">
        <v>5</v>
      </c>
      <c r="W43" s="1382">
        <f t="shared" si="11"/>
        <v>100</v>
      </c>
      <c r="X43" s="1383"/>
      <c r="Y43" s="385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7" t="s">
        <v>499</v>
      </c>
      <c r="Q44" s="1385" t="str">
        <f t="shared" si="13"/>
        <v>工程地质条件</v>
      </c>
      <c r="R44" s="1386" t="s">
        <v>5</v>
      </c>
      <c r="S44" s="1387">
        <f t="shared" si="9"/>
        <v>100</v>
      </c>
      <c r="T44" s="1386" t="s">
        <v>5</v>
      </c>
      <c r="U44" s="1387">
        <f t="shared" si="10"/>
        <v>100</v>
      </c>
      <c r="V44" s="1386" t="s">
        <v>5</v>
      </c>
      <c r="W44" s="1387">
        <f t="shared" si="11"/>
        <v>100</v>
      </c>
      <c r="X44" s="1380"/>
      <c r="Y44" s="385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7"/>
      <c r="Q45" s="1385">
        <f t="shared" si="13"/>
        <v>111</v>
      </c>
      <c r="R45" s="1386" t="s">
        <v>5</v>
      </c>
      <c r="S45" s="1387">
        <f t="shared" si="9"/>
        <v>100</v>
      </c>
      <c r="T45" s="1386" t="s">
        <v>5</v>
      </c>
      <c r="U45" s="1387">
        <f t="shared" si="10"/>
        <v>100</v>
      </c>
      <c r="V45" s="1386" t="s">
        <v>5</v>
      </c>
      <c r="W45" s="1387">
        <f t="shared" si="11"/>
        <v>100</v>
      </c>
      <c r="X45" s="1380"/>
      <c r="Y45" s="385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7"/>
      <c r="Q46" s="1385">
        <f t="shared" si="13"/>
        <v>111</v>
      </c>
      <c r="R46" s="1386" t="s">
        <v>5</v>
      </c>
      <c r="S46" s="1387">
        <f t="shared" si="9"/>
        <v>100</v>
      </c>
      <c r="T46" s="1386" t="s">
        <v>5</v>
      </c>
      <c r="U46" s="1387">
        <f t="shared" si="10"/>
        <v>100</v>
      </c>
      <c r="V46" s="1386" t="s">
        <v>5</v>
      </c>
      <c r="W46" s="1387">
        <f t="shared" si="11"/>
        <v>100</v>
      </c>
      <c r="X46" s="1380"/>
      <c r="Y46" s="385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7"/>
      <c r="Q47" s="1385">
        <f t="shared" si="13"/>
        <v>111</v>
      </c>
      <c r="R47" s="1390" t="s">
        <v>5</v>
      </c>
      <c r="S47" s="1391">
        <f t="shared" si="9"/>
        <v>100</v>
      </c>
      <c r="T47" s="1390" t="s">
        <v>5</v>
      </c>
      <c r="U47" s="1391">
        <f t="shared" si="10"/>
        <v>100</v>
      </c>
      <c r="V47" s="1390" t="s">
        <v>5</v>
      </c>
      <c r="W47" s="1391">
        <f t="shared" si="11"/>
        <v>100</v>
      </c>
      <c r="X47" s="1392"/>
      <c r="Y47" s="3857"/>
      <c r="Z47" s="1393">
        <f t="shared" si="12"/>
        <v>111</v>
      </c>
      <c r="AA47" s="1389">
        <f t="shared" si="3"/>
        <v>1</v>
      </c>
      <c r="AB47" s="1389">
        <f t="shared" si="4"/>
        <v>1</v>
      </c>
      <c r="AC47" s="1389">
        <f t="shared" si="5"/>
        <v>1</v>
      </c>
    </row>
    <row r="48" spans="1:29" ht="20.25">
      <c r="A48" s="577" t="s">
        <v>505</v>
      </c>
      <c r="B48" s="578" t="s">
        <v>3356</v>
      </c>
      <c r="C48" s="579" t="s">
        <v>0</v>
      </c>
      <c r="D48" s="580"/>
      <c r="E48" s="581">
        <f>ROUND(Sheet1!AC2,0)</f>
        <v>851</v>
      </c>
      <c r="F48" s="582"/>
      <c r="G48" s="581">
        <f>ROUND(Sheet1!AC3,0)</f>
        <v>841</v>
      </c>
      <c r="H48" s="584"/>
      <c r="I48" s="581">
        <f>ROUND(Sheet1!AC4,0)</f>
        <v>843</v>
      </c>
      <c r="J48" s="584"/>
      <c r="K48" s="1201"/>
      <c r="L48" s="1867"/>
      <c r="M48" s="1855"/>
      <c r="N48" s="1855"/>
      <c r="O48" s="1868"/>
      <c r="P48" s="3852" t="str">
        <f>A48</f>
        <v>成交单价</v>
      </c>
      <c r="Q48" s="3852"/>
      <c r="R48" s="3868">
        <f>E48</f>
        <v>851</v>
      </c>
      <c r="S48" s="3868"/>
      <c r="T48" s="3868">
        <f>G48</f>
        <v>841</v>
      </c>
      <c r="U48" s="3868"/>
      <c r="V48" s="3868">
        <f>I48</f>
        <v>843</v>
      </c>
      <c r="W48" s="3868"/>
      <c r="X48" s="1375"/>
      <c r="Y48" s="1394"/>
      <c r="Z48" s="1375"/>
      <c r="AA48" s="1375"/>
      <c r="AB48" s="1375"/>
      <c r="AC48" s="1375"/>
    </row>
    <row r="49" spans="1:29" ht="21" thickBot="1">
      <c r="A49" s="585" t="s">
        <v>1975</v>
      </c>
      <c r="B49" s="586"/>
      <c r="C49" s="587">
        <f>R50</f>
        <v>832</v>
      </c>
      <c r="D49" s="2757" t="s">
        <v>2257</v>
      </c>
      <c r="E49" s="587">
        <f>R49</f>
        <v>815</v>
      </c>
      <c r="F49" s="2758"/>
      <c r="G49" s="588">
        <f>T49</f>
        <v>840</v>
      </c>
      <c r="H49" s="2758"/>
      <c r="I49" s="587">
        <f>V49</f>
        <v>842</v>
      </c>
      <c r="J49" s="2758"/>
      <c r="K49" s="2759">
        <f>F49+H49+J49</f>
        <v>0</v>
      </c>
      <c r="L49" s="1867"/>
      <c r="M49" s="1855"/>
      <c r="N49" s="1855"/>
      <c r="O49" s="1868"/>
      <c r="P49" s="3852" t="str">
        <f>A49</f>
        <v>比较价格（元/平方米）</v>
      </c>
      <c r="Q49" s="3852"/>
      <c r="R49" s="3876">
        <f>ROUND(PRODUCT(R48,AA9:AA47),0)</f>
        <v>815</v>
      </c>
      <c r="S49" s="3876"/>
      <c r="T49" s="3876">
        <f>ROUND(PRODUCT(T48,AB9:AB47),0)</f>
        <v>840</v>
      </c>
      <c r="U49" s="3876"/>
      <c r="V49" s="3876">
        <f>ROUND(PRODUCT(V48,AC9:AC47),0)</f>
        <v>842</v>
      </c>
      <c r="W49" s="3876"/>
      <c r="X49" s="1375"/>
      <c r="Y49" s="1375"/>
      <c r="Z49" s="1375"/>
      <c r="AA49" s="1375"/>
      <c r="AB49" s="1375"/>
      <c r="AC49" s="1375"/>
    </row>
    <row r="50" spans="1:29" ht="21" thickBot="1">
      <c r="A50" s="589" t="s">
        <v>2194</v>
      </c>
      <c r="B50" s="590"/>
      <c r="C50" s="591">
        <f>R50</f>
        <v>832</v>
      </c>
      <c r="D50" s="591"/>
      <c r="E50" s="591"/>
      <c r="F50" s="591"/>
      <c r="G50" s="591"/>
      <c r="H50" s="591"/>
      <c r="I50" s="591"/>
      <c r="J50" s="591"/>
      <c r="K50" s="1202"/>
      <c r="L50" s="1867"/>
      <c r="M50" s="1855"/>
      <c r="N50" s="1855"/>
      <c r="O50" s="1868"/>
      <c r="P50" s="3858" t="str">
        <f>A50</f>
        <v>估价对象XX用房的比较价格（楼面单价，元/平方米）</v>
      </c>
      <c r="Q50" s="3859"/>
      <c r="R50" s="3875">
        <f>ROUND(IF(D49="简单平均",AVERAGE(R49:W49),R49*F49+T49*H49+V49*J49),0)</f>
        <v>832</v>
      </c>
      <c r="S50" s="3875"/>
      <c r="T50" s="3875"/>
      <c r="U50" s="3875"/>
      <c r="V50" s="3875"/>
      <c r="W50" s="387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4.4171779141104262E-2</v>
      </c>
      <c r="F53" s="595" t="str">
        <f>IF(OR(E53&gt;=0.3,E53&lt;=-0.3),"超过30%","")</f>
        <v/>
      </c>
      <c r="G53" s="594">
        <f>IF(G48&lt;G49,G49/G48-1,G48/G49-1)</f>
        <v>1.1904761904761862E-3</v>
      </c>
      <c r="H53" s="595" t="str">
        <f>IF(OR(G53&gt;=0.3,G53&lt;=-0.3),"超过30%","")</f>
        <v/>
      </c>
      <c r="I53" s="594">
        <f>IF(I48&lt;I49,I49/I48-1,I48/I49-1)</f>
        <v>1.1876484560569001E-3</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3.0674846625766916E-2</v>
      </c>
      <c r="F54" s="595" t="str">
        <f>IF(OR(E54&gt;=0.2,E54&lt;=-0.2),"超过20%","")</f>
        <v/>
      </c>
      <c r="G54" s="594">
        <f>IF(G49&lt;I49,I49/G49-1,G49/I49-1)</f>
        <v>2.3809523809523725E-3</v>
      </c>
      <c r="H54" s="595" t="str">
        <f>IF(OR(G54&gt;=0.2,G54&lt;=-0.2),"超过20%","")</f>
        <v/>
      </c>
      <c r="I54" s="594">
        <f>IF(I49&lt;E49,E49/I49-1,I49/E49-1)</f>
        <v>3.3128834355828252E-2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1.189060642092743E-2</v>
      </c>
      <c r="F55" s="595" t="str">
        <f>IF(OR(E55&gt;=0.3,E55&lt;=-0.3),"超过30%","")</f>
        <v/>
      </c>
      <c r="G55" s="594">
        <f>IF(G48&lt;I48,I48/G48-1,G48/I48-1)</f>
        <v>2.3781212841855748E-3</v>
      </c>
      <c r="H55" s="595" t="str">
        <f>IF(OR(G55&gt;=0.3,G55&lt;=-0.3),"超过30%","")</f>
        <v/>
      </c>
      <c r="I55" s="594">
        <f>IF(I48&lt;E48,E48/I48-1,I48/E48-1)</f>
        <v>9.4899169632265412E-3</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37" t="s">
        <v>1639</v>
      </c>
      <c r="H57" s="3838"/>
      <c r="I57" s="1372" t="s">
        <v>1251</v>
      </c>
      <c r="J57" s="1372" t="str">
        <f>项目基本情况!F41</f>
        <v>江苏省</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832</v>
      </c>
      <c r="C58" s="603">
        <v>1</v>
      </c>
      <c r="D58" s="1947">
        <v>1</v>
      </c>
      <c r="E58" s="603">
        <f>'数据-汇总表'!E8+'数据-汇总表'!E9</f>
        <v>294028.11</v>
      </c>
      <c r="F58" s="604">
        <f t="shared" ref="F58:F66" si="14">ROUND(B58*E58/10000,0)</f>
        <v>24463</v>
      </c>
      <c r="G58" s="3839"/>
      <c r="H58" s="384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0</v>
      </c>
      <c r="C59" s="365">
        <f t="shared" ref="C59:C66" si="15">IF($C$57="北京市系数",I59,J59)</f>
        <v>0</v>
      </c>
      <c r="D59" s="1948">
        <v>0.25</v>
      </c>
      <c r="E59" s="607">
        <v>0</v>
      </c>
      <c r="F59" s="604">
        <f t="shared" si="14"/>
        <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0</v>
      </c>
      <c r="C60" s="365">
        <f t="shared" si="15"/>
        <v>0</v>
      </c>
      <c r="D60" s="1948">
        <v>0.25</v>
      </c>
      <c r="E60" s="607">
        <v>0</v>
      </c>
      <c r="F60" s="604">
        <f t="shared" si="14"/>
        <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0</v>
      </c>
      <c r="C61" s="365">
        <f t="shared" si="15"/>
        <v>0</v>
      </c>
      <c r="D61" s="1948">
        <v>0.25</v>
      </c>
      <c r="E61" s="607">
        <v>0</v>
      </c>
      <c r="F61" s="604">
        <f t="shared" si="14"/>
        <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0</v>
      </c>
      <c r="C62" s="365">
        <f t="shared" si="15"/>
        <v>0</v>
      </c>
      <c r="D62" s="1948">
        <v>0.25</v>
      </c>
      <c r="E62" s="609">
        <f>'数据-汇总表'!E11</f>
        <v>0</v>
      </c>
      <c r="F62" s="604">
        <f t="shared" si="14"/>
        <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0</v>
      </c>
      <c r="C63" s="365">
        <f t="shared" si="15"/>
        <v>0</v>
      </c>
      <c r="D63" s="1948">
        <v>0.25</v>
      </c>
      <c r="E63" s="609">
        <f>'数据-汇总表'!E12</f>
        <v>0</v>
      </c>
      <c r="F63" s="604">
        <f t="shared" si="14"/>
        <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0</v>
      </c>
      <c r="C65" s="365">
        <f t="shared" si="15"/>
        <v>0</v>
      </c>
      <c r="D65" s="1948">
        <v>0.25</v>
      </c>
      <c r="E65" s="609">
        <f>'数据-汇总表'!E14</f>
        <v>0</v>
      </c>
      <c r="F65" s="604">
        <f t="shared" si="14"/>
        <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0</v>
      </c>
      <c r="C66" s="365">
        <f t="shared" si="15"/>
        <v>0</v>
      </c>
      <c r="D66" s="1948">
        <v>0.25</v>
      </c>
      <c r="E66" s="609">
        <f>'数据-汇总表'!E15</f>
        <v>0</v>
      </c>
      <c r="F66" s="604">
        <f t="shared" si="14"/>
        <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294028.11</v>
      </c>
      <c r="F67" s="612">
        <f>IF(B48="楼面地价",SUM(F58:F66),ROUND(C50*E67/10000,0))</f>
        <v>24463</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2023-1-1</v>
      </c>
      <c r="D69" s="2279">
        <f>EDATE(C69,-3)</f>
        <v>44835</v>
      </c>
      <c r="E69" s="2279">
        <f t="shared" ref="E69:N69" si="17">EDATE(D69,-3)</f>
        <v>44743</v>
      </c>
      <c r="F69" s="2279">
        <f t="shared" si="17"/>
        <v>44652</v>
      </c>
      <c r="G69" s="2279">
        <f t="shared" si="17"/>
        <v>44562</v>
      </c>
      <c r="H69" s="2279">
        <f t="shared" si="17"/>
        <v>44470</v>
      </c>
      <c r="I69" s="2279">
        <f t="shared" si="17"/>
        <v>44378</v>
      </c>
      <c r="J69" s="2279">
        <f t="shared" si="17"/>
        <v>44287</v>
      </c>
      <c r="K69" s="2279">
        <f t="shared" si="17"/>
        <v>44197</v>
      </c>
      <c r="L69" s="2279">
        <f t="shared" si="17"/>
        <v>44105</v>
      </c>
      <c r="M69" s="2279">
        <f t="shared" si="17"/>
        <v>44013</v>
      </c>
      <c r="N69" s="2279">
        <f t="shared" si="17"/>
        <v>43922</v>
      </c>
      <c r="O69" s="1870">
        <f t="shared" ref="O69" si="18">EDATE(N69,-3)</f>
        <v>43831</v>
      </c>
      <c r="P69" s="1870">
        <f t="shared" ref="P69" si="19">EDATE(O69,-3)</f>
        <v>43739</v>
      </c>
      <c r="Q69" s="1870">
        <f t="shared" ref="Q69" si="20">EDATE(P69,-3)</f>
        <v>43647</v>
      </c>
      <c r="R69" s="1870">
        <f t="shared" ref="R69" si="21">EDATE(Q69,-3)</f>
        <v>43556</v>
      </c>
      <c r="S69" s="1870">
        <f t="shared" ref="S69" si="22">EDATE(R69,-3)</f>
        <v>43466</v>
      </c>
      <c r="T69" s="1870">
        <f t="shared" ref="T69" si="23">EDATE(S69,-3)</f>
        <v>43374</v>
      </c>
      <c r="U69" s="1870">
        <f t="shared" ref="U69" si="24">EDATE(T69,-3)</f>
        <v>43282</v>
      </c>
      <c r="V69" s="1870">
        <f t="shared" ref="V69" si="25">EDATE(U69,-3)</f>
        <v>43191</v>
      </c>
      <c r="W69" s="1870">
        <f t="shared" ref="W69" si="26">EDATE(V69,-3)</f>
        <v>43101</v>
      </c>
      <c r="X69" s="1870">
        <f t="shared" ref="X69" si="27">EDATE(W69,-3)</f>
        <v>43009</v>
      </c>
      <c r="Y69" s="1870">
        <f t="shared" ref="Y69" si="28">EDATE(X69,-3)</f>
        <v>42917</v>
      </c>
      <c r="Z69" s="1870">
        <f t="shared" ref="Z69" si="29">EDATE(Y69,-3)</f>
        <v>42826</v>
      </c>
      <c r="AA69" s="1870">
        <f t="shared" ref="AA69" si="30">EDATE(Z69,-3)</f>
        <v>42736</v>
      </c>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42.75">
      <c r="A71" s="2185" t="s">
        <v>1815</v>
      </c>
      <c r="B71" s="2186"/>
      <c r="C71" s="2276" t="str">
        <f>YEAR(C69)&amp;"-"&amp;ROUNDUP(MONTH(C69)/3,0)</f>
        <v>2023-1</v>
      </c>
      <c r="D71" s="2281" t="str">
        <f>YEAR(D69)&amp;"-"&amp;ROUNDUP(MONTH(D69)/3,0)</f>
        <v>2022-4</v>
      </c>
      <c r="E71" s="2281" t="str">
        <f t="shared" ref="E71:X71" si="31">YEAR(E69)&amp;"-"&amp;ROUNDUP(MONTH(E69)/3,0)</f>
        <v>2022-3</v>
      </c>
      <c r="F71" s="2281" t="str">
        <f t="shared" si="31"/>
        <v>2022-2</v>
      </c>
      <c r="G71" s="2281" t="str">
        <f t="shared" si="31"/>
        <v>2022-1</v>
      </c>
      <c r="H71" s="2281" t="str">
        <f t="shared" si="31"/>
        <v>2021-4</v>
      </c>
      <c r="I71" s="2281" t="str">
        <f t="shared" si="31"/>
        <v>2021-3</v>
      </c>
      <c r="J71" s="2281" t="str">
        <f t="shared" si="31"/>
        <v>2021-2</v>
      </c>
      <c r="K71" s="2281" t="str">
        <f t="shared" si="31"/>
        <v>2021-1</v>
      </c>
      <c r="L71" s="2281" t="str">
        <f t="shared" si="31"/>
        <v>2020-4</v>
      </c>
      <c r="M71" s="2281" t="str">
        <f t="shared" si="31"/>
        <v>2020-3</v>
      </c>
      <c r="N71" s="2281" t="str">
        <f t="shared" si="31"/>
        <v>2020-2</v>
      </c>
      <c r="O71" s="3986" t="str">
        <f>YEAR(O69)&amp;"-"&amp;ROUNDUP(MONTH(O69)/3,0)</f>
        <v>2020-1</v>
      </c>
      <c r="P71" s="3986" t="str">
        <f t="shared" si="31"/>
        <v>2019-4</v>
      </c>
      <c r="Q71" s="3986" t="str">
        <f t="shared" si="31"/>
        <v>2019-3</v>
      </c>
      <c r="R71" s="3986" t="str">
        <f t="shared" si="31"/>
        <v>2019-2</v>
      </c>
      <c r="S71" s="3986" t="str">
        <f t="shared" si="31"/>
        <v>2019-1</v>
      </c>
      <c r="T71" s="3986" t="str">
        <f t="shared" si="31"/>
        <v>2018-4</v>
      </c>
      <c r="U71" s="3986" t="str">
        <f t="shared" si="31"/>
        <v>2018-3</v>
      </c>
      <c r="V71" s="3986" t="str">
        <f t="shared" si="31"/>
        <v>2018-2</v>
      </c>
      <c r="W71" s="3986" t="str">
        <f t="shared" si="31"/>
        <v>2018-1</v>
      </c>
      <c r="X71" s="3986" t="str">
        <f t="shared" si="31"/>
        <v>2017-4</v>
      </c>
      <c r="Y71" s="3986" t="str">
        <f t="shared" ref="Y71:AA71" si="32">YEAR(Y69)&amp;"-"&amp;ROUNDUP(MONTH(Y69)/3,0)</f>
        <v>2017-3</v>
      </c>
      <c r="Z71" s="3986" t="str">
        <f t="shared" si="32"/>
        <v>2017-2</v>
      </c>
      <c r="AA71" s="3986" t="str">
        <f t="shared" si="32"/>
        <v>2017-1</v>
      </c>
      <c r="AB71" s="1883"/>
      <c r="AC71" s="1883"/>
    </row>
    <row r="72" spans="1:29" s="1118" customFormat="1" ht="27" customHeight="1">
      <c r="A72" s="2286" t="s">
        <v>1929</v>
      </c>
      <c r="B72" s="465" t="str">
        <f>"北京市平均增长率"&amp;TEXT(SUMIF(基准地价!N25:N29,A72,基准地价!P25:P29),"0.00%")</f>
        <v>北京市平均增长率1.47%</v>
      </c>
      <c r="C72" s="857">
        <v>100</v>
      </c>
      <c r="D72" s="698">
        <f>C72-0.1</f>
        <v>99.9</v>
      </c>
      <c r="E72" s="698">
        <f t="shared" ref="E72:X72" si="33">D72-0.1</f>
        <v>99.800000000000011</v>
      </c>
      <c r="F72" s="698">
        <f t="shared" si="33"/>
        <v>99.700000000000017</v>
      </c>
      <c r="G72" s="698">
        <f t="shared" si="33"/>
        <v>99.600000000000023</v>
      </c>
      <c r="H72" s="698">
        <f t="shared" si="33"/>
        <v>99.500000000000028</v>
      </c>
      <c r="I72" s="698">
        <f t="shared" si="33"/>
        <v>99.400000000000034</v>
      </c>
      <c r="J72" s="698">
        <f t="shared" si="33"/>
        <v>99.30000000000004</v>
      </c>
      <c r="K72" s="698">
        <f t="shared" si="33"/>
        <v>99.200000000000045</v>
      </c>
      <c r="L72" s="698">
        <f t="shared" si="33"/>
        <v>99.100000000000051</v>
      </c>
      <c r="M72" s="698">
        <f t="shared" si="33"/>
        <v>99.000000000000057</v>
      </c>
      <c r="N72" s="698">
        <f t="shared" si="33"/>
        <v>98.900000000000063</v>
      </c>
      <c r="O72" s="698">
        <f t="shared" si="33"/>
        <v>98.800000000000068</v>
      </c>
      <c r="P72" s="698">
        <f t="shared" si="33"/>
        <v>98.700000000000074</v>
      </c>
      <c r="Q72" s="698">
        <f t="shared" si="33"/>
        <v>98.60000000000008</v>
      </c>
      <c r="R72" s="698">
        <f t="shared" si="33"/>
        <v>98.500000000000085</v>
      </c>
      <c r="S72" s="698">
        <f t="shared" si="33"/>
        <v>98.400000000000091</v>
      </c>
      <c r="T72" s="698">
        <f t="shared" si="33"/>
        <v>98.300000000000097</v>
      </c>
      <c r="U72" s="698">
        <f t="shared" si="33"/>
        <v>98.200000000000102</v>
      </c>
      <c r="V72" s="698">
        <f t="shared" si="33"/>
        <v>98.100000000000108</v>
      </c>
      <c r="W72" s="698">
        <f t="shared" si="33"/>
        <v>98.000000000000114</v>
      </c>
      <c r="X72" s="698">
        <f t="shared" si="33"/>
        <v>97.900000000000119</v>
      </c>
      <c r="Y72" s="698">
        <f t="shared" ref="Y72:AA72" si="34">X72-0.1</f>
        <v>97.800000000000125</v>
      </c>
      <c r="Z72" s="698">
        <f t="shared" si="34"/>
        <v>97.700000000000131</v>
      </c>
      <c r="AA72" s="698">
        <f t="shared" si="34"/>
        <v>97.600000000000136</v>
      </c>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3988" t="s">
        <v>3337</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35">D81&amp;"（含）"&amp;"-"&amp;E81</f>
        <v>1（含）-2</v>
      </c>
      <c r="E80" s="650" t="str">
        <f t="shared" si="35"/>
        <v>2（含）-3</v>
      </c>
      <c r="F80" s="650" t="str">
        <f t="shared" si="35"/>
        <v>3（含）-4</v>
      </c>
      <c r="G80" s="650" t="str">
        <f t="shared" si="35"/>
        <v>4（含）-</v>
      </c>
      <c r="H80" s="650" t="str">
        <f t="shared" si="35"/>
        <v>（含）-</v>
      </c>
      <c r="I80" s="650" t="str">
        <f t="shared" si="35"/>
        <v>（含）-</v>
      </c>
      <c r="J80" s="650" t="str">
        <f t="shared" si="35"/>
        <v>（含）-</v>
      </c>
      <c r="K80" s="650" t="str">
        <f t="shared" si="35"/>
        <v>（含）-</v>
      </c>
      <c r="L80" s="650" t="str">
        <f t="shared" si="35"/>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36">IF($B$48="单位面积地价",C82+$K13,C82-$K13)</f>
        <v>98</v>
      </c>
      <c r="E82" s="647">
        <f t="shared" si="36"/>
        <v>96</v>
      </c>
      <c r="F82" s="647">
        <f t="shared" si="36"/>
        <v>94</v>
      </c>
      <c r="G82" s="647">
        <f t="shared" si="36"/>
        <v>92</v>
      </c>
      <c r="H82" s="647">
        <f t="shared" si="36"/>
        <v>90</v>
      </c>
      <c r="I82" s="647">
        <f t="shared" si="36"/>
        <v>88</v>
      </c>
      <c r="J82" s="647">
        <f t="shared" si="36"/>
        <v>86</v>
      </c>
      <c r="K82" s="647">
        <f t="shared" si="36"/>
        <v>84</v>
      </c>
      <c r="L82" s="647">
        <f t="shared" si="36"/>
        <v>82</v>
      </c>
      <c r="M82" s="647">
        <f t="shared" si="36"/>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37">C106-$K33</f>
        <v>100</v>
      </c>
      <c r="E106" s="647">
        <f t="shared" si="37"/>
        <v>100</v>
      </c>
      <c r="F106" s="647">
        <f t="shared" si="37"/>
        <v>100</v>
      </c>
      <c r="G106" s="647">
        <f t="shared" si="37"/>
        <v>100</v>
      </c>
      <c r="H106" s="647">
        <f t="shared" si="37"/>
        <v>100</v>
      </c>
      <c r="I106" s="647">
        <f t="shared" si="37"/>
        <v>100</v>
      </c>
      <c r="J106" s="647">
        <f t="shared" si="37"/>
        <v>100</v>
      </c>
      <c r="K106" s="647">
        <f t="shared" si="37"/>
        <v>100</v>
      </c>
      <c r="L106" s="647">
        <f t="shared" si="37"/>
        <v>100</v>
      </c>
      <c r="M106" s="647">
        <f t="shared" si="37"/>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38">C108-$K34</f>
        <v>100</v>
      </c>
      <c r="E108" s="647">
        <f t="shared" si="38"/>
        <v>100</v>
      </c>
      <c r="F108" s="647">
        <f t="shared" si="38"/>
        <v>100</v>
      </c>
      <c r="G108" s="647">
        <f t="shared" si="38"/>
        <v>100</v>
      </c>
      <c r="H108" s="647">
        <f t="shared" si="38"/>
        <v>100</v>
      </c>
      <c r="I108" s="647">
        <f t="shared" si="38"/>
        <v>100</v>
      </c>
      <c r="J108" s="647">
        <f t="shared" si="38"/>
        <v>100</v>
      </c>
      <c r="K108" s="647">
        <f t="shared" si="38"/>
        <v>100</v>
      </c>
      <c r="L108" s="647">
        <f t="shared" si="38"/>
        <v>100</v>
      </c>
      <c r="M108" s="647">
        <f t="shared" si="38"/>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39">C110-$K36</f>
        <v>100</v>
      </c>
      <c r="E110" s="647">
        <f t="shared" si="39"/>
        <v>100</v>
      </c>
      <c r="F110" s="647">
        <f t="shared" si="39"/>
        <v>100</v>
      </c>
      <c r="G110" s="647">
        <f t="shared" si="39"/>
        <v>100</v>
      </c>
      <c r="H110" s="647">
        <f t="shared" si="39"/>
        <v>100</v>
      </c>
      <c r="I110" s="647">
        <f t="shared" si="39"/>
        <v>100</v>
      </c>
      <c r="J110" s="647">
        <f t="shared" si="39"/>
        <v>100</v>
      </c>
      <c r="K110" s="647">
        <f t="shared" si="39"/>
        <v>100</v>
      </c>
      <c r="L110" s="647">
        <f t="shared" si="39"/>
        <v>100</v>
      </c>
      <c r="M110" s="647">
        <f t="shared" si="39"/>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40">C118&amp;"(含)"&amp;"-"&amp;D118</f>
        <v>0(含)-30000</v>
      </c>
      <c r="D117" s="672" t="str">
        <f t="shared" si="40"/>
        <v>30000(含)-60000</v>
      </c>
      <c r="E117" s="672" t="str">
        <f t="shared" si="40"/>
        <v>60000(含)-90000</v>
      </c>
      <c r="F117" s="672" t="str">
        <f t="shared" si="40"/>
        <v>90000(含)-120000</v>
      </c>
      <c r="G117" s="672" t="str">
        <f t="shared" si="40"/>
        <v>120000(含)-150000</v>
      </c>
      <c r="H117" s="672" t="str">
        <f t="shared" si="40"/>
        <v>150000(含)-</v>
      </c>
      <c r="I117" s="672" t="str">
        <f t="shared" si="40"/>
        <v>(含)-</v>
      </c>
      <c r="J117" s="2537" t="str">
        <f t="shared" si="40"/>
        <v>(含)-</v>
      </c>
      <c r="K117" s="2537" t="str">
        <f t="shared" si="40"/>
        <v>(含)-</v>
      </c>
      <c r="L117" s="2538" t="str">
        <f t="shared" si="40"/>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f>C118+30000</f>
        <v>30000</v>
      </c>
      <c r="E118" s="698">
        <f t="shared" ref="E118:H118" si="41">D118+30000</f>
        <v>60000</v>
      </c>
      <c r="F118" s="698">
        <f t="shared" si="41"/>
        <v>90000</v>
      </c>
      <c r="G118" s="698">
        <f t="shared" si="41"/>
        <v>120000</v>
      </c>
      <c r="H118" s="698">
        <f t="shared" si="41"/>
        <v>150000</v>
      </c>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C119+3</f>
        <v>103</v>
      </c>
      <c r="E119" s="694">
        <f t="shared" ref="E119:H119" si="42">D119+3</f>
        <v>106</v>
      </c>
      <c r="F119" s="694">
        <f t="shared" si="42"/>
        <v>109</v>
      </c>
      <c r="G119" s="694">
        <f t="shared" si="42"/>
        <v>112</v>
      </c>
      <c r="H119" s="694">
        <f t="shared" si="42"/>
        <v>115</v>
      </c>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991" t="s">
        <v>3345</v>
      </c>
      <c r="D120" s="3991" t="s">
        <v>3346</v>
      </c>
      <c r="E120" s="3991" t="s">
        <v>3347</v>
      </c>
      <c r="F120" s="3991" t="s">
        <v>3348</v>
      </c>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43">C121-$K41</f>
        <v>100</v>
      </c>
      <c r="E121" s="647">
        <f t="shared" si="43"/>
        <v>100</v>
      </c>
      <c r="F121" s="647">
        <f t="shared" si="43"/>
        <v>100</v>
      </c>
      <c r="G121" s="647">
        <f t="shared" si="43"/>
        <v>100</v>
      </c>
      <c r="H121" s="647">
        <f t="shared" si="43"/>
        <v>100</v>
      </c>
      <c r="I121" s="647">
        <f t="shared" si="43"/>
        <v>100</v>
      </c>
      <c r="J121" s="647">
        <f t="shared" si="43"/>
        <v>100</v>
      </c>
      <c r="K121" s="647">
        <f t="shared" si="43"/>
        <v>100</v>
      </c>
      <c r="L121" s="647">
        <f t="shared" si="43"/>
        <v>100</v>
      </c>
      <c r="M121" s="648">
        <f t="shared" si="43"/>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44">C123-$K42</f>
        <v>100</v>
      </c>
      <c r="E123" s="647">
        <f t="shared" si="44"/>
        <v>100</v>
      </c>
      <c r="F123" s="647">
        <f t="shared" si="44"/>
        <v>100</v>
      </c>
      <c r="G123" s="647">
        <f t="shared" si="44"/>
        <v>100</v>
      </c>
      <c r="H123" s="647">
        <f t="shared" si="44"/>
        <v>100</v>
      </c>
      <c r="I123" s="647">
        <f t="shared" si="44"/>
        <v>100</v>
      </c>
      <c r="J123" s="647">
        <f t="shared" si="44"/>
        <v>100</v>
      </c>
      <c r="K123" s="647">
        <f t="shared" si="44"/>
        <v>100</v>
      </c>
      <c r="L123" s="647">
        <f t="shared" si="44"/>
        <v>100</v>
      </c>
      <c r="M123" s="648">
        <f t="shared" si="44"/>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45">C125-$K43</f>
        <v>100</v>
      </c>
      <c r="E125" s="647">
        <f t="shared" si="45"/>
        <v>100</v>
      </c>
      <c r="F125" s="647">
        <f t="shared" si="45"/>
        <v>100</v>
      </c>
      <c r="G125" s="647">
        <f t="shared" si="45"/>
        <v>100</v>
      </c>
      <c r="H125" s="647">
        <f t="shared" si="45"/>
        <v>100</v>
      </c>
      <c r="I125" s="647">
        <f t="shared" si="45"/>
        <v>100</v>
      </c>
      <c r="J125" s="647">
        <f t="shared" si="45"/>
        <v>100</v>
      </c>
      <c r="K125" s="647">
        <f t="shared" si="45"/>
        <v>100</v>
      </c>
      <c r="L125" s="647">
        <f t="shared" si="45"/>
        <v>100</v>
      </c>
      <c r="M125" s="648">
        <f t="shared" si="45"/>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46">C127-$K44</f>
        <v>100</v>
      </c>
      <c r="E127" s="647">
        <f t="shared" si="46"/>
        <v>100</v>
      </c>
      <c r="F127" s="647">
        <f t="shared" si="46"/>
        <v>100</v>
      </c>
      <c r="G127" s="647">
        <f t="shared" si="46"/>
        <v>100</v>
      </c>
      <c r="H127" s="647">
        <f t="shared" si="46"/>
        <v>100</v>
      </c>
      <c r="I127" s="647">
        <f t="shared" si="46"/>
        <v>100</v>
      </c>
      <c r="J127" s="647">
        <f t="shared" si="46"/>
        <v>100</v>
      </c>
      <c r="K127" s="647">
        <f t="shared" si="46"/>
        <v>100</v>
      </c>
      <c r="L127" s="647">
        <f t="shared" si="46"/>
        <v>100</v>
      </c>
      <c r="M127" s="648">
        <f t="shared" si="46"/>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60484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2057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7097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473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186347</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2738</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6338</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294028.11</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186347</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67626</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2029</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4410</v>
      </c>
      <c r="D16" s="2324">
        <f ca="1">IF(B1="",'数据-汇总表'!E3,INDIRECT("'数据-取费表'!K"&amp;$K$1)+INDIRECT("'数据-取费表'!S"&amp;$K$1))</f>
        <v>294028.11</v>
      </c>
      <c r="E16" s="51">
        <f>'数据-取费表'!B35</f>
        <v>150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1014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75079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2352</v>
      </c>
      <c r="D19" s="2334">
        <f ca="1">D16</f>
        <v>294028.11</v>
      </c>
      <c r="E19" s="2288">
        <f>'数据-取费表'!B32</f>
        <v>80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3087</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3087</v>
      </c>
      <c r="D22" s="2324">
        <f ca="1">IF(B1="",'数据-汇总表'!E6,IF(INDIRECT("'数据-取费表'!c"&amp;$K$1)="住宅",INDIRECT("'数据-取费表'!s"&amp;$K$1),INDIRECT("'数据-取费表'!k"&amp;$K$1)+INDIRECT("'数据-取费表'!s"&amp;$K$1)))</f>
        <v>294028.11</v>
      </c>
      <c r="E22" s="51">
        <f>'数据-取费表'!B28</f>
        <v>105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1208</v>
      </c>
      <c r="D23" s="454"/>
      <c r="E23" s="454"/>
      <c r="F23" s="2336">
        <f>'数据-取费表'!B37</f>
        <v>1.4999999999999999E-2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3727</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5571</v>
      </c>
      <c r="D26" s="453">
        <f ca="1">C27</f>
        <v>0.13850000000000001</v>
      </c>
      <c r="E26" s="455" t="s">
        <v>455</v>
      </c>
      <c r="F26" s="457">
        <f ca="1">'数据-取费表'!B40</f>
        <v>4.2999999999999997E-2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0.13850000000000001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5571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9939</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100963</v>
      </c>
      <c r="D30" s="463">
        <f ca="1">C32</f>
        <v>0.16750000000000001</v>
      </c>
      <c r="E30" s="455" t="s">
        <v>455</v>
      </c>
      <c r="F30" s="457"/>
      <c r="G30" s="2300" t="s">
        <v>2226</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100963</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0.16750000000000001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8545</v>
      </c>
      <c r="D33" s="453">
        <f ca="1">C34</f>
        <v>0.10290000000000001</v>
      </c>
      <c r="E33" s="455" t="s">
        <v>455</v>
      </c>
      <c r="F33" s="465">
        <f ca="1">IF(B1="",'数据-取费表'!Q16,INDIRECT("'数据-取费表'!q"&amp;$K$1))</f>
        <v>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8545</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60484</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2" t="str">
        <f>项目基本情况!B1</f>
        <v>江苏省连云港海州区锦屏山东南侧4号地出让国有建设用地使用权预评估</v>
      </c>
      <c r="C37" s="3662"/>
      <c r="D37" s="3662"/>
      <c r="E37" s="3662"/>
      <c r="F37" s="3662"/>
      <c r="G37" s="3662"/>
      <c r="H37" s="3662"/>
      <c r="I37" s="366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67626</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2029</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4410</v>
      </c>
      <c r="D16" s="437">
        <f ca="1">IF(B1="",'数据-汇总表'!E3,INDIRECT("'数据-取费表'!K"&amp;$K$1)+INDIRECT("'数据-取费表'!S"&amp;$K$1))</f>
        <v>294028.11</v>
      </c>
      <c r="E16" s="51">
        <f>'数据-取费表'!B35</f>
        <v>150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1014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75079</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1126</v>
      </c>
      <c r="D19" s="447"/>
      <c r="E19" s="448"/>
      <c r="F19" s="452">
        <f>'数据-取费表'!B37</f>
        <v>1.4999999999999999E-2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4968</v>
      </c>
      <c r="D20" s="448">
        <f ca="1">ROUND(((1+F20)^'数据-取费表'!B20)-1,4)</f>
        <v>0.1346</v>
      </c>
      <c r="E20" s="448"/>
      <c r="F20" s="457">
        <f ca="1">'数据-取费表'!B40</f>
        <v>4.2999999999999997E-2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f ca="1">ROUND((C18+C19)*F21,0)</f>
        <v>7621</v>
      </c>
      <c r="D21" s="3029"/>
      <c r="E21" s="448"/>
      <c r="F21" s="465">
        <f ca="1">IF(B1="",'数据-取费表'!Q16,INDIRECT("'数据-取费表'!q"&amp;$K$1))</f>
        <v>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3" t="s">
        <v>1394</v>
      </c>
      <c r="B24" s="3834"/>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3" t="s">
        <v>2293</v>
      </c>
      <c r="B25" s="383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3" t="s">
        <v>2294</v>
      </c>
      <c r="B26" s="383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5" t="s">
        <v>2292</v>
      </c>
      <c r="B27" s="3836"/>
      <c r="C27" s="3047">
        <f ca="1">(C6-C23-C24-C25)/((1+F26)*(1+D20+F21))</f>
        <v>0</v>
      </c>
      <c r="D27" s="3048"/>
      <c r="E27" s="3048"/>
      <c r="F27" s="3048"/>
      <c r="G27" s="3049" t="s">
        <v>2227</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0" t="s">
        <v>471</v>
      </c>
      <c r="D6" s="3861"/>
      <c r="E6" s="3882" t="s">
        <v>472</v>
      </c>
      <c r="F6" s="3883"/>
      <c r="G6" s="3860" t="s">
        <v>473</v>
      </c>
      <c r="H6" s="3861"/>
      <c r="I6" s="3860" t="s">
        <v>474</v>
      </c>
      <c r="J6" s="3861"/>
      <c r="K6" s="484" t="s">
        <v>475</v>
      </c>
      <c r="L6" s="1856"/>
      <c r="M6" s="1857"/>
      <c r="N6" s="1857"/>
      <c r="O6" s="1857"/>
      <c r="P6" s="3862" t="s">
        <v>476</v>
      </c>
      <c r="Q6" s="3863"/>
      <c r="R6" s="3846" t="s">
        <v>472</v>
      </c>
      <c r="S6" s="3847"/>
      <c r="T6" s="3846" t="s">
        <v>473</v>
      </c>
      <c r="U6" s="3847"/>
      <c r="V6" s="3868" t="s">
        <v>474</v>
      </c>
      <c r="W6" s="3868"/>
      <c r="X6" s="1380"/>
      <c r="Y6" s="3846" t="s">
        <v>476</v>
      </c>
      <c r="Z6" s="3847"/>
      <c r="AA6" s="3841" t="s">
        <v>472</v>
      </c>
      <c r="AB6" s="3842" t="s">
        <v>473</v>
      </c>
      <c r="AC6" s="3841" t="s">
        <v>474</v>
      </c>
    </row>
    <row r="7" spans="1:29" ht="15">
      <c r="A7" s="485"/>
      <c r="B7" s="486"/>
      <c r="C7" s="3871" t="s">
        <v>2188</v>
      </c>
      <c r="D7" s="3872"/>
      <c r="E7" s="3884" t="s">
        <v>2189</v>
      </c>
      <c r="F7" s="3885"/>
      <c r="G7" s="3871" t="s">
        <v>2190</v>
      </c>
      <c r="H7" s="3872"/>
      <c r="I7" s="3871" t="s">
        <v>2191</v>
      </c>
      <c r="J7" s="3872"/>
      <c r="K7" s="484"/>
      <c r="L7" s="1856"/>
      <c r="M7" s="1857"/>
      <c r="N7" s="1857"/>
      <c r="O7" s="1857"/>
      <c r="P7" s="3864"/>
      <c r="Q7" s="3865"/>
      <c r="R7" s="3848"/>
      <c r="S7" s="3849"/>
      <c r="T7" s="3848"/>
      <c r="U7" s="3849"/>
      <c r="V7" s="3868"/>
      <c r="W7" s="3868"/>
      <c r="X7" s="1380"/>
      <c r="Y7" s="3848"/>
      <c r="Z7" s="3849"/>
      <c r="AA7" s="3842"/>
      <c r="AB7" s="3842"/>
      <c r="AC7" s="3842"/>
    </row>
    <row r="8" spans="1:29" ht="15.75" thickBot="1">
      <c r="A8" s="487"/>
      <c r="B8" s="488"/>
      <c r="C8" s="3869" t="s">
        <v>2192</v>
      </c>
      <c r="D8" s="3870"/>
      <c r="E8" s="3886" t="s">
        <v>2192</v>
      </c>
      <c r="F8" s="3887"/>
      <c r="G8" s="3869" t="s">
        <v>2192</v>
      </c>
      <c r="H8" s="3870"/>
      <c r="I8" s="3869" t="s">
        <v>2192</v>
      </c>
      <c r="J8" s="3870"/>
      <c r="K8" s="484" t="s">
        <v>477</v>
      </c>
      <c r="L8" s="1856"/>
      <c r="M8" s="1857"/>
      <c r="N8" s="1857"/>
      <c r="O8" s="1857"/>
      <c r="P8" s="3866"/>
      <c r="Q8" s="3867"/>
      <c r="R8" s="3848"/>
      <c r="S8" s="3849"/>
      <c r="T8" s="3850"/>
      <c r="U8" s="3851"/>
      <c r="V8" s="3868"/>
      <c r="W8" s="3868"/>
      <c r="X8" s="1380"/>
      <c r="Y8" s="3850"/>
      <c r="Z8" s="3851"/>
      <c r="AA8" s="3843"/>
      <c r="AB8" s="3843"/>
      <c r="AC8" s="3843"/>
    </row>
    <row r="9" spans="1:29" s="1118" customFormat="1" ht="15.75" thickBot="1">
      <c r="A9" s="2392"/>
      <c r="B9" s="2399"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44" t="s">
        <v>479</v>
      </c>
      <c r="Q9" s="3853"/>
      <c r="R9" s="1381" t="s">
        <v>5</v>
      </c>
      <c r="S9" s="1382">
        <f t="shared" ref="S9:S17" si="0">F9</f>
        <v>0</v>
      </c>
      <c r="T9" s="1381" t="s">
        <v>5</v>
      </c>
      <c r="U9" s="1382">
        <f t="shared" ref="U9:U17" si="1">H9</f>
        <v>0</v>
      </c>
      <c r="V9" s="1381" t="s">
        <v>5</v>
      </c>
      <c r="W9" s="1382">
        <f t="shared" ref="W9:W17" si="2">J9</f>
        <v>0</v>
      </c>
      <c r="X9" s="1383"/>
      <c r="Y9" s="3844" t="s">
        <v>479</v>
      </c>
      <c r="Z9" s="3845"/>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44" t="s">
        <v>482</v>
      </c>
      <c r="Q10" s="3845"/>
      <c r="R10" s="1381" t="s">
        <v>5</v>
      </c>
      <c r="S10" s="1382">
        <f t="shared" si="0"/>
        <v>0</v>
      </c>
      <c r="T10" s="1381" t="s">
        <v>5</v>
      </c>
      <c r="U10" s="1382">
        <f t="shared" si="1"/>
        <v>0</v>
      </c>
      <c r="V10" s="1381" t="s">
        <v>5</v>
      </c>
      <c r="W10" s="1382">
        <f t="shared" si="2"/>
        <v>0</v>
      </c>
      <c r="X10" s="1383"/>
      <c r="Y10" s="3844" t="s">
        <v>482</v>
      </c>
      <c r="Z10" s="3845"/>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2" t="s">
        <v>484</v>
      </c>
      <c r="Q11" s="1050" t="str">
        <f t="shared" ref="Q11:Q17" si="6">B11</f>
        <v>用途</v>
      </c>
      <c r="R11" s="1381" t="s">
        <v>5</v>
      </c>
      <c r="S11" s="1382">
        <f t="shared" si="0"/>
        <v>100</v>
      </c>
      <c r="T11" s="1381" t="s">
        <v>5</v>
      </c>
      <c r="U11" s="1382">
        <f t="shared" si="1"/>
        <v>100</v>
      </c>
      <c r="V11" s="1381" t="s">
        <v>5</v>
      </c>
      <c r="W11" s="1382">
        <f t="shared" si="2"/>
        <v>100</v>
      </c>
      <c r="X11" s="1383"/>
      <c r="Y11" s="3800"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110</v>
      </c>
      <c r="G12" s="498"/>
      <c r="H12" s="246">
        <f>ROUND(100/'数据-取费表'!G16,0)</f>
        <v>110</v>
      </c>
      <c r="I12" s="498"/>
      <c r="J12" s="246">
        <f>ROUND(100/'数据-取费表'!G16,0)</f>
        <v>110</v>
      </c>
      <c r="K12" s="501"/>
      <c r="L12" s="1861"/>
      <c r="M12" s="1900"/>
      <c r="N12" s="1900"/>
      <c r="O12" s="1862"/>
      <c r="P12" s="3852"/>
      <c r="Q12" s="1050" t="str">
        <f t="shared" si="6"/>
        <v>土地使用年限（年）</v>
      </c>
      <c r="R12" s="1381" t="s">
        <v>5</v>
      </c>
      <c r="S12" s="1382">
        <f t="shared" si="0"/>
        <v>110</v>
      </c>
      <c r="T12" s="1381" t="s">
        <v>5</v>
      </c>
      <c r="U12" s="1382">
        <f t="shared" si="1"/>
        <v>110</v>
      </c>
      <c r="V12" s="1381" t="s">
        <v>5</v>
      </c>
      <c r="W12" s="1382">
        <f t="shared" si="2"/>
        <v>110</v>
      </c>
      <c r="X12" s="1383"/>
      <c r="Y12" s="3800"/>
      <c r="Z12" s="1049" t="str">
        <f t="shared" si="7"/>
        <v>土地使用年限（年）</v>
      </c>
      <c r="AA12" s="1384">
        <f t="shared" si="3"/>
        <v>0.90909090909090906</v>
      </c>
      <c r="AB12" s="1384">
        <f t="shared" si="4"/>
        <v>0.90909090909090906</v>
      </c>
      <c r="AC12" s="1384">
        <f t="shared" si="5"/>
        <v>0.90909090909090906</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2"/>
      <c r="Q13" s="1050" t="str">
        <f t="shared" si="6"/>
        <v>容积率</v>
      </c>
      <c r="R13" s="1381" t="s">
        <v>5</v>
      </c>
      <c r="S13" s="1382" t="e">
        <f t="shared" si="0"/>
        <v>#N/A</v>
      </c>
      <c r="T13" s="1381" t="s">
        <v>5</v>
      </c>
      <c r="U13" s="1382" t="e">
        <f t="shared" si="1"/>
        <v>#N/A</v>
      </c>
      <c r="V13" s="1381" t="s">
        <v>5</v>
      </c>
      <c r="W13" s="1382" t="e">
        <f t="shared" si="2"/>
        <v>#N/A</v>
      </c>
      <c r="X13" s="1383"/>
      <c r="Y13" s="380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2"/>
      <c r="Q14" s="1050">
        <f t="shared" si="6"/>
        <v>111</v>
      </c>
      <c r="R14" s="1381" t="s">
        <v>5</v>
      </c>
      <c r="S14" s="1382">
        <f t="shared" si="0"/>
        <v>100</v>
      </c>
      <c r="T14" s="1381" t="s">
        <v>5</v>
      </c>
      <c r="U14" s="1382">
        <f t="shared" si="1"/>
        <v>100</v>
      </c>
      <c r="V14" s="1381" t="s">
        <v>5</v>
      </c>
      <c r="W14" s="1382">
        <f t="shared" si="2"/>
        <v>100</v>
      </c>
      <c r="X14" s="1383"/>
      <c r="Y14" s="380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2"/>
      <c r="Q15" s="1050">
        <f t="shared" si="6"/>
        <v>111</v>
      </c>
      <c r="R15" s="1381" t="s">
        <v>5</v>
      </c>
      <c r="S15" s="1382">
        <f t="shared" si="0"/>
        <v>100</v>
      </c>
      <c r="T15" s="1381" t="s">
        <v>5</v>
      </c>
      <c r="U15" s="1382">
        <f t="shared" si="1"/>
        <v>100</v>
      </c>
      <c r="V15" s="1381" t="s">
        <v>5</v>
      </c>
      <c r="W15" s="1382">
        <f t="shared" si="2"/>
        <v>100</v>
      </c>
      <c r="X15" s="1383"/>
      <c r="Y15" s="380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2"/>
      <c r="Q16" s="1050">
        <f t="shared" si="6"/>
        <v>111</v>
      </c>
      <c r="R16" s="1381" t="s">
        <v>5</v>
      </c>
      <c r="S16" s="1382">
        <f t="shared" si="0"/>
        <v>100</v>
      </c>
      <c r="T16" s="1381" t="s">
        <v>5</v>
      </c>
      <c r="U16" s="1382">
        <f t="shared" si="1"/>
        <v>100</v>
      </c>
      <c r="V16" s="1381" t="s">
        <v>5</v>
      </c>
      <c r="W16" s="1382">
        <f t="shared" si="2"/>
        <v>100</v>
      </c>
      <c r="X16" s="1383"/>
      <c r="Y16" s="380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4" t="s">
        <v>489</v>
      </c>
      <c r="Q17" s="1385" t="str">
        <f t="shared" si="6"/>
        <v>产业集聚程度</v>
      </c>
      <c r="R17" s="1386" t="s">
        <v>5</v>
      </c>
      <c r="S17" s="1387">
        <f t="shared" si="0"/>
        <v>100</v>
      </c>
      <c r="T17" s="1386" t="s">
        <v>5</v>
      </c>
      <c r="U17" s="1387">
        <f t="shared" si="1"/>
        <v>100</v>
      </c>
      <c r="V17" s="1386" t="s">
        <v>5</v>
      </c>
      <c r="W17" s="1387">
        <f t="shared" si="2"/>
        <v>100</v>
      </c>
      <c r="X17" s="1380"/>
      <c r="Y17" s="385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5"/>
      <c r="Q18" s="1385"/>
      <c r="R18" s="1386"/>
      <c r="S18" s="1387"/>
      <c r="T18" s="1386"/>
      <c r="U18" s="1387"/>
      <c r="V18" s="1386"/>
      <c r="W18" s="1387"/>
      <c r="X18" s="1380"/>
      <c r="Y18" s="3855"/>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5"/>
      <c r="Q19" s="1385" t="str">
        <f>B19</f>
        <v>交通便捷度</v>
      </c>
      <c r="R19" s="1386" t="s">
        <v>5</v>
      </c>
      <c r="S19" s="1387">
        <f>F19</f>
        <v>100</v>
      </c>
      <c r="T19" s="1386" t="s">
        <v>5</v>
      </c>
      <c r="U19" s="1387">
        <f>H19</f>
        <v>100</v>
      </c>
      <c r="V19" s="1386" t="s">
        <v>5</v>
      </c>
      <c r="W19" s="1387">
        <f>J19</f>
        <v>100</v>
      </c>
      <c r="X19" s="1380"/>
      <c r="Y19" s="385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5"/>
      <c r="Q20" s="1385"/>
      <c r="R20" s="1386"/>
      <c r="S20" s="1387"/>
      <c r="T20" s="1386"/>
      <c r="U20" s="1387"/>
      <c r="V20" s="1386"/>
      <c r="W20" s="1387"/>
      <c r="X20" s="1380"/>
      <c r="Y20" s="385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5"/>
      <c r="Q21" s="1385" t="str">
        <f t="shared" ref="Q21:Q35" si="8">B21</f>
        <v>区域土地利用方向</v>
      </c>
      <c r="R21" s="1386" t="s">
        <v>5</v>
      </c>
      <c r="S21" s="1387">
        <f>F21</f>
        <v>100</v>
      </c>
      <c r="T21" s="1386" t="s">
        <v>5</v>
      </c>
      <c r="U21" s="1387">
        <f>H21</f>
        <v>100</v>
      </c>
      <c r="V21" s="1386" t="s">
        <v>5</v>
      </c>
      <c r="W21" s="1387">
        <f>J21</f>
        <v>100</v>
      </c>
      <c r="X21" s="1380"/>
      <c r="Y21" s="385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5"/>
      <c r="Q22" s="1385"/>
      <c r="R22" s="1386"/>
      <c r="S22" s="1387"/>
      <c r="T22" s="1386"/>
      <c r="U22" s="1387"/>
      <c r="V22" s="1386"/>
      <c r="W22" s="1387"/>
      <c r="X22" s="1380"/>
      <c r="Y22" s="3855"/>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5"/>
      <c r="Q23" s="1385" t="str">
        <f t="shared" si="8"/>
        <v>环境状况</v>
      </c>
      <c r="R23" s="1386" t="s">
        <v>5</v>
      </c>
      <c r="S23" s="1387">
        <f>F23</f>
        <v>100</v>
      </c>
      <c r="T23" s="1386" t="s">
        <v>5</v>
      </c>
      <c r="U23" s="1387">
        <f>H23</f>
        <v>100</v>
      </c>
      <c r="V23" s="1386" t="s">
        <v>5</v>
      </c>
      <c r="W23" s="1387">
        <f>J23</f>
        <v>100</v>
      </c>
      <c r="X23" s="1380"/>
      <c r="Y23" s="385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5"/>
      <c r="Q24" s="1385"/>
      <c r="R24" s="1386"/>
      <c r="S24" s="1387"/>
      <c r="T24" s="1386"/>
      <c r="U24" s="1387"/>
      <c r="V24" s="1386"/>
      <c r="W24" s="1387"/>
      <c r="X24" s="1380"/>
      <c r="Y24" s="3855"/>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5"/>
      <c r="Q25" s="1050" t="str">
        <f t="shared" si="8"/>
        <v>公共配套设施</v>
      </c>
      <c r="R25" s="1381" t="s">
        <v>5</v>
      </c>
      <c r="S25" s="1382">
        <f>F25</f>
        <v>100</v>
      </c>
      <c r="T25" s="1381" t="s">
        <v>5</v>
      </c>
      <c r="U25" s="1382">
        <f>H25</f>
        <v>100</v>
      </c>
      <c r="V25" s="1381" t="s">
        <v>5</v>
      </c>
      <c r="W25" s="1382">
        <f>J25</f>
        <v>100</v>
      </c>
      <c r="X25" s="1383"/>
      <c r="Y25" s="385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5"/>
      <c r="Q26" s="1050"/>
      <c r="R26" s="1381"/>
      <c r="S26" s="1382"/>
      <c r="T26" s="1381"/>
      <c r="U26" s="1382"/>
      <c r="V26" s="1381"/>
      <c r="W26" s="1382"/>
      <c r="X26" s="1383"/>
      <c r="Y26" s="3855"/>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5"/>
      <c r="Q27" s="2192" t="str">
        <f>B27</f>
        <v>基础设施水平</v>
      </c>
      <c r="R27" s="1381" t="s">
        <v>5</v>
      </c>
      <c r="S27" s="1382">
        <f>F27</f>
        <v>100</v>
      </c>
      <c r="T27" s="1381" t="s">
        <v>5</v>
      </c>
      <c r="U27" s="1382">
        <f>H27</f>
        <v>100</v>
      </c>
      <c r="V27" s="1381" t="s">
        <v>5</v>
      </c>
      <c r="W27" s="1382">
        <f>J27</f>
        <v>100</v>
      </c>
      <c r="X27" s="1383"/>
      <c r="Y27" s="385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5"/>
      <c r="Q28" s="2192"/>
      <c r="R28" s="1381"/>
      <c r="S28" s="1382"/>
      <c r="T28" s="1381"/>
      <c r="U28" s="1382"/>
      <c r="V28" s="1381"/>
      <c r="W28" s="1382"/>
      <c r="X28" s="1383"/>
      <c r="Y28" s="385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5"/>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5"/>
      <c r="Q30" s="1385" t="str">
        <f t="shared" si="8"/>
        <v>毗邻道路的类型与等级</v>
      </c>
      <c r="R30" s="1386" t="s">
        <v>5</v>
      </c>
      <c r="S30" s="1387">
        <f t="shared" si="9"/>
        <v>100</v>
      </c>
      <c r="T30" s="1386" t="s">
        <v>5</v>
      </c>
      <c r="U30" s="1387">
        <f t="shared" si="10"/>
        <v>100</v>
      </c>
      <c r="V30" s="1386" t="s">
        <v>5</v>
      </c>
      <c r="W30" s="1387">
        <f t="shared" si="11"/>
        <v>100</v>
      </c>
      <c r="X30" s="1380"/>
      <c r="Y30" s="385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5"/>
      <c r="Q31" s="1385"/>
      <c r="R31" s="1386"/>
      <c r="S31" s="1387"/>
      <c r="T31" s="1386"/>
      <c r="U31" s="1387"/>
      <c r="V31" s="1386"/>
      <c r="W31" s="1387"/>
      <c r="X31" s="1380"/>
      <c r="Y31" s="385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5"/>
      <c r="Q32" s="1385" t="str">
        <f t="shared" si="8"/>
        <v>土地级别</v>
      </c>
      <c r="R32" s="1386" t="s">
        <v>5</v>
      </c>
      <c r="S32" s="1387">
        <f t="shared" si="9"/>
        <v>100</v>
      </c>
      <c r="T32" s="1386" t="s">
        <v>5</v>
      </c>
      <c r="U32" s="1387">
        <f t="shared" si="10"/>
        <v>100</v>
      </c>
      <c r="V32" s="1386" t="s">
        <v>5</v>
      </c>
      <c r="W32" s="1387">
        <f t="shared" si="11"/>
        <v>100</v>
      </c>
      <c r="X32" s="1380"/>
      <c r="Y32" s="385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5"/>
      <c r="Q33" s="1385">
        <f t="shared" si="8"/>
        <v>111</v>
      </c>
      <c r="R33" s="1386" t="s">
        <v>5</v>
      </c>
      <c r="S33" s="1387">
        <f t="shared" si="9"/>
        <v>100</v>
      </c>
      <c r="T33" s="1386" t="s">
        <v>5</v>
      </c>
      <c r="U33" s="1387">
        <f t="shared" si="10"/>
        <v>100</v>
      </c>
      <c r="V33" s="1386" t="s">
        <v>5</v>
      </c>
      <c r="W33" s="1387">
        <f t="shared" si="11"/>
        <v>100</v>
      </c>
      <c r="X33" s="1380"/>
      <c r="Y33" s="385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6" t="s">
        <v>499</v>
      </c>
      <c r="Q34" s="1385">
        <f t="shared" si="8"/>
        <v>111</v>
      </c>
      <c r="R34" s="1386" t="s">
        <v>5</v>
      </c>
      <c r="S34" s="1387">
        <f t="shared" si="9"/>
        <v>100</v>
      </c>
      <c r="T34" s="1386" t="s">
        <v>5</v>
      </c>
      <c r="U34" s="1387">
        <f t="shared" si="10"/>
        <v>100</v>
      </c>
      <c r="V34" s="1386" t="s">
        <v>5</v>
      </c>
      <c r="W34" s="1387">
        <f t="shared" si="11"/>
        <v>100</v>
      </c>
      <c r="X34" s="1380"/>
      <c r="Y34" s="3857"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7"/>
      <c r="Q35" s="1385">
        <f t="shared" si="8"/>
        <v>111</v>
      </c>
      <c r="R35" s="1390" t="s">
        <v>5</v>
      </c>
      <c r="S35" s="1391">
        <f t="shared" si="9"/>
        <v>100</v>
      </c>
      <c r="T35" s="1390" t="s">
        <v>5</v>
      </c>
      <c r="U35" s="1391">
        <f t="shared" si="10"/>
        <v>100</v>
      </c>
      <c r="V35" s="1390" t="s">
        <v>5</v>
      </c>
      <c r="W35" s="1391">
        <f t="shared" si="11"/>
        <v>100</v>
      </c>
      <c r="X35" s="1392"/>
      <c r="Y35" s="3857"/>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57"/>
      <c r="Q36" s="1385" t="str">
        <f>B36</f>
        <v>宗地面积</v>
      </c>
      <c r="R36" s="1386" t="s">
        <v>5</v>
      </c>
      <c r="S36" s="1387" t="e">
        <f t="shared" si="9"/>
        <v>#N/A</v>
      </c>
      <c r="T36" s="1386" t="s">
        <v>5</v>
      </c>
      <c r="U36" s="1387" t="e">
        <f t="shared" si="10"/>
        <v>#N/A</v>
      </c>
      <c r="V36" s="1386" t="s">
        <v>5</v>
      </c>
      <c r="W36" s="1387" t="e">
        <f t="shared" si="11"/>
        <v>#N/A</v>
      </c>
      <c r="X36" s="1380"/>
      <c r="Y36" s="385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7"/>
      <c r="Q37" s="1385" t="str">
        <f t="shared" ref="Q37:Q42" si="13">B37</f>
        <v>宗地形状</v>
      </c>
      <c r="R37" s="1386" t="s">
        <v>5</v>
      </c>
      <c r="S37" s="1387">
        <f t="shared" si="9"/>
        <v>100</v>
      </c>
      <c r="T37" s="1386" t="s">
        <v>5</v>
      </c>
      <c r="U37" s="1387">
        <f t="shared" si="10"/>
        <v>100</v>
      </c>
      <c r="V37" s="1386" t="s">
        <v>5</v>
      </c>
      <c r="W37" s="1387">
        <f t="shared" si="11"/>
        <v>100</v>
      </c>
      <c r="X37" s="1380"/>
      <c r="Y37" s="385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7"/>
      <c r="Q38" s="1385" t="str">
        <f t="shared" si="13"/>
        <v>宗地开发程度</v>
      </c>
      <c r="R38" s="1381" t="s">
        <v>5</v>
      </c>
      <c r="S38" s="1382">
        <f t="shared" si="9"/>
        <v>100</v>
      </c>
      <c r="T38" s="1381" t="s">
        <v>5</v>
      </c>
      <c r="U38" s="1382">
        <f t="shared" si="10"/>
        <v>100</v>
      </c>
      <c r="V38" s="1381" t="s">
        <v>5</v>
      </c>
      <c r="W38" s="1382">
        <f t="shared" si="11"/>
        <v>100</v>
      </c>
      <c r="X38" s="1383"/>
      <c r="Y38" s="385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7" t="s">
        <v>549</v>
      </c>
      <c r="Q39" s="1385" t="str">
        <f t="shared" si="13"/>
        <v>工程地质条件</v>
      </c>
      <c r="R39" s="1386" t="s">
        <v>5</v>
      </c>
      <c r="S39" s="1387">
        <f t="shared" si="9"/>
        <v>100</v>
      </c>
      <c r="T39" s="1386" t="s">
        <v>5</v>
      </c>
      <c r="U39" s="1387">
        <f t="shared" si="10"/>
        <v>100</v>
      </c>
      <c r="V39" s="1386" t="s">
        <v>5</v>
      </c>
      <c r="W39" s="1387">
        <f t="shared" si="11"/>
        <v>100</v>
      </c>
      <c r="X39" s="1380"/>
      <c r="Y39" s="385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7"/>
      <c r="Q40" s="1385">
        <f t="shared" si="13"/>
        <v>111</v>
      </c>
      <c r="R40" s="1386" t="s">
        <v>5</v>
      </c>
      <c r="S40" s="1387">
        <f t="shared" si="9"/>
        <v>100</v>
      </c>
      <c r="T40" s="1386" t="s">
        <v>5</v>
      </c>
      <c r="U40" s="1387">
        <f t="shared" si="10"/>
        <v>100</v>
      </c>
      <c r="V40" s="1386" t="s">
        <v>5</v>
      </c>
      <c r="W40" s="1387">
        <f t="shared" si="11"/>
        <v>100</v>
      </c>
      <c r="X40" s="1380"/>
      <c r="Y40" s="385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7"/>
      <c r="Q41" s="1385">
        <f t="shared" si="13"/>
        <v>111</v>
      </c>
      <c r="R41" s="1386" t="s">
        <v>5</v>
      </c>
      <c r="S41" s="1387">
        <f t="shared" si="9"/>
        <v>100</v>
      </c>
      <c r="T41" s="1386" t="s">
        <v>5</v>
      </c>
      <c r="U41" s="1387">
        <f t="shared" si="10"/>
        <v>100</v>
      </c>
      <c r="V41" s="1386" t="s">
        <v>5</v>
      </c>
      <c r="W41" s="1387">
        <f t="shared" si="11"/>
        <v>100</v>
      </c>
      <c r="X41" s="1380"/>
      <c r="Y41" s="385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7"/>
      <c r="Q42" s="1385">
        <f t="shared" si="13"/>
        <v>111</v>
      </c>
      <c r="R42" s="1390" t="s">
        <v>5</v>
      </c>
      <c r="S42" s="1391">
        <f t="shared" si="9"/>
        <v>100</v>
      </c>
      <c r="T42" s="1390" t="s">
        <v>5</v>
      </c>
      <c r="U42" s="1391">
        <f t="shared" si="10"/>
        <v>100</v>
      </c>
      <c r="V42" s="1390" t="s">
        <v>5</v>
      </c>
      <c r="W42" s="1391">
        <f t="shared" si="11"/>
        <v>100</v>
      </c>
      <c r="X42" s="1392"/>
      <c r="Y42" s="3857"/>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7"/>
      <c r="M43" s="1857"/>
      <c r="N43" s="1857"/>
      <c r="O43" s="1868"/>
      <c r="P43" s="3852" t="str">
        <f>A43</f>
        <v>成交单价</v>
      </c>
      <c r="Q43" s="3852"/>
      <c r="R43" s="3868">
        <f>E43</f>
        <v>0</v>
      </c>
      <c r="S43" s="3868"/>
      <c r="T43" s="3868">
        <f>G43</f>
        <v>0</v>
      </c>
      <c r="U43" s="3868"/>
      <c r="V43" s="3868">
        <f>I43</f>
        <v>0</v>
      </c>
      <c r="W43" s="3868"/>
      <c r="X43" s="1375"/>
      <c r="Y43" s="1394"/>
      <c r="Z43" s="1375"/>
      <c r="AA43" s="1375"/>
      <c r="AB43" s="1375"/>
      <c r="AC43" s="1375"/>
    </row>
    <row r="44" spans="1:29" ht="15.75" thickBot="1">
      <c r="A44" s="585" t="s">
        <v>1975</v>
      </c>
      <c r="B44" s="586"/>
      <c r="C44" s="587" t="e">
        <f>R45</f>
        <v>#DIV/0!</v>
      </c>
      <c r="D44" s="2757" t="s">
        <v>2257</v>
      </c>
      <c r="E44" s="587" t="e">
        <f>R44</f>
        <v>#DIV/0!</v>
      </c>
      <c r="F44" s="2758"/>
      <c r="G44" s="588" t="e">
        <f>T44</f>
        <v>#DIV/0!</v>
      </c>
      <c r="H44" s="2758"/>
      <c r="I44" s="587" t="e">
        <f>V44</f>
        <v>#DIV/0!</v>
      </c>
      <c r="J44" s="2758"/>
      <c r="K44" s="2759">
        <f>F44+H44+J44</f>
        <v>0</v>
      </c>
      <c r="L44" s="1867"/>
      <c r="M44" s="1857"/>
      <c r="N44" s="1857"/>
      <c r="O44" s="1868"/>
      <c r="P44" s="3852" t="str">
        <f>A44</f>
        <v>比较价格（元/平方米）</v>
      </c>
      <c r="Q44" s="3852"/>
      <c r="R44" s="3876" t="e">
        <f>ROUND(PRODUCT(R43,AA9:AA42),0)</f>
        <v>#DIV/0!</v>
      </c>
      <c r="S44" s="3876"/>
      <c r="T44" s="3876" t="e">
        <f>ROUND(PRODUCT(T43,AB9:AB42),0)</f>
        <v>#DIV/0!</v>
      </c>
      <c r="U44" s="3876"/>
      <c r="V44" s="3876" t="e">
        <f>ROUND(PRODUCT(V43,AC9:AC42),0)</f>
        <v>#DIV/0!</v>
      </c>
      <c r="W44" s="3876"/>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7"/>
      <c r="M45" s="1857"/>
      <c r="N45" s="1857"/>
      <c r="O45" s="1868"/>
      <c r="P45" s="3858" t="str">
        <f>A45</f>
        <v>估价对象XX用房的比较价格（楼面单价，元/平方米）</v>
      </c>
      <c r="Q45" s="3859"/>
      <c r="R45" s="3881" t="e">
        <f>ROUND(IF(D44="简单平均",AVERAGE(R44:W44),R44*F44+T44*H44+V44*J44),0)</f>
        <v>#DIV/0!</v>
      </c>
      <c r="S45" s="3881"/>
      <c r="T45" s="3881"/>
      <c r="U45" s="3881"/>
      <c r="V45" s="3881"/>
      <c r="W45" s="388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77" t="s">
        <v>1642</v>
      </c>
      <c r="H52" s="3878"/>
      <c r="I52" s="1708" t="s">
        <v>1465</v>
      </c>
      <c r="J52" s="1372" t="str">
        <f>项目基本情况!F41</f>
        <v>江苏省</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294028.11</v>
      </c>
      <c r="F53" s="1706" t="e">
        <f t="shared" ref="F53:F61" si="14">ROUND(B53*E53/10000,0)</f>
        <v>#DIV/0!</v>
      </c>
      <c r="G53" s="3879"/>
      <c r="H53" s="388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85225.54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2023-1-1</v>
      </c>
      <c r="D64" s="2279">
        <f>EDATE(C64,-3)</f>
        <v>44835</v>
      </c>
      <c r="E64" s="2279">
        <f t="shared" ref="E64:N64" si="17">EDATE(D64,-3)</f>
        <v>44743</v>
      </c>
      <c r="F64" s="2279">
        <f t="shared" si="17"/>
        <v>44652</v>
      </c>
      <c r="G64" s="2279">
        <f t="shared" si="17"/>
        <v>44562</v>
      </c>
      <c r="H64" s="2279">
        <f t="shared" si="17"/>
        <v>44470</v>
      </c>
      <c r="I64" s="2279">
        <f t="shared" si="17"/>
        <v>44378</v>
      </c>
      <c r="J64" s="2279">
        <f t="shared" si="17"/>
        <v>44287</v>
      </c>
      <c r="K64" s="2279">
        <f t="shared" si="17"/>
        <v>44197</v>
      </c>
      <c r="L64" s="2279">
        <f t="shared" si="17"/>
        <v>44105</v>
      </c>
      <c r="M64" s="2279">
        <f t="shared" si="17"/>
        <v>44013</v>
      </c>
      <c r="N64" s="2279">
        <f t="shared" si="17"/>
        <v>43922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SUMPRODUCT((区片价!B10:B28=I2)*(区片价!C3:G3=E2)*(区片价!C10:G28))</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SUMPRODUCT((区片价!B76:B109=I2)*(区片价!C3:G3=E2)*(区片价!C76:G109))</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6" t="s">
        <v>2060</v>
      </c>
      <c r="X8" s="389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5"/>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89" t="s">
        <v>1370</v>
      </c>
      <c r="B20" s="1278" t="s">
        <v>875</v>
      </c>
      <c r="C20" s="998" t="e">
        <f>ROUND(IF(F21="与级别开发程度一致",0,(G21-E21)/C21),0)</f>
        <v>#DIV/0!</v>
      </c>
      <c r="D20" s="3901" t="s">
        <v>879</v>
      </c>
      <c r="E20" s="3902"/>
      <c r="F20" s="3901" t="s">
        <v>876</v>
      </c>
      <c r="G20" s="390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89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7" t="s">
        <v>882</v>
      </c>
      <c r="E23" s="1000">
        <v>44197</v>
      </c>
      <c r="F23" s="1297" t="s">
        <v>883</v>
      </c>
      <c r="G23" s="1001">
        <f>'数据-取费表'!B2</f>
        <v>44929</v>
      </c>
      <c r="H23" s="1298" t="s">
        <v>2243</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v>3.6999999999999998E-2</v>
      </c>
      <c r="M36" s="3644">
        <f>ROUND($L$36*(1+M31),3)</f>
        <v>4.5999999999999999E-2</v>
      </c>
      <c r="N36" s="3644">
        <f>ROUND($L$36*(1+N31),3)</f>
        <v>4.3999999999999997E-2</v>
      </c>
      <c r="O36" s="3644">
        <f>ROUND($L$36*(1+O31),3)</f>
        <v>4.2999999999999997E-2</v>
      </c>
      <c r="P36" s="3644">
        <f>ROUND($L$36*(1+P31),3)</f>
        <v>4.1000000000000002E-2</v>
      </c>
      <c r="Q36" s="3644">
        <f>ROUND($L$36*(1+Q31),3)</f>
        <v>4.2999999999999997E-2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3"/>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3"/>
      <c r="K37" s="3642" t="s">
        <v>3247</v>
      </c>
      <c r="L37" s="3643">
        <f>L36+K38</f>
        <v>4.1999999999999996E-2</v>
      </c>
      <c r="M37" s="3644">
        <f>ROUND($L$37*(1+M31),3)</f>
        <v>5.2999999999999999E-2</v>
      </c>
      <c r="N37" s="3644">
        <f t="shared" ref="N37:Q37" si="3">ROUND($L$37*(1+N31),3)</f>
        <v>0.05</v>
      </c>
      <c r="O37" s="3644">
        <f t="shared" si="3"/>
        <v>4.8000000000000001E-2</v>
      </c>
      <c r="P37" s="3644">
        <f t="shared" si="3"/>
        <v>4.5999999999999999E-2</v>
      </c>
      <c r="Q37" s="3644">
        <f t="shared" si="3"/>
        <v>4.8000000000000001E-2</v>
      </c>
      <c r="R37" s="1912"/>
      <c r="S37" s="1912"/>
      <c r="T37" s="1912"/>
      <c r="U37" s="1912"/>
      <c r="V37" s="1912"/>
      <c r="W37" s="1911"/>
      <c r="X37" s="1911"/>
      <c r="Y37" s="1911"/>
      <c r="Z37" s="1911"/>
      <c r="AA37" s="1911"/>
      <c r="AB37" s="1911"/>
      <c r="AC37" s="1912"/>
    </row>
    <row r="38" spans="1:44" ht="12.75">
      <c r="A38" s="3894"/>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4"/>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2239</v>
      </c>
      <c r="C44" s="804" t="e">
        <f>ROUND(POWER(1+E44,H44-G44)*(POWER(1+E44,G44)-1)/(POWER(1+E44,H44)-1),4)</f>
        <v>#DIV/0!</v>
      </c>
      <c r="D44" s="365" t="s">
        <v>2237</v>
      </c>
      <c r="E44" s="2587">
        <f>G24</f>
        <v>0</v>
      </c>
      <c r="F44" s="365" t="s">
        <v>2238</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估价对象周边商业氛围成熟度一般，人流量一般，住宅底商为主，商业繁华度一般</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估价对象周边道路状况一般、公共交通通达情况较差，有5、122路经过、停车便捷程度，综合评价交通便捷度一般</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2196</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t="str">
        <f>估价对象房地状况!C24</f>
        <v>次干道-新华大道</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2195</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估价对象所在区域公共配套设施齐备情况较差</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六通</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区域自然环境：；人文环境；综合评价环境状况较差</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f>估价对象房地状况!C17</f>
        <v>0</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估价对象周边道路状况一般、公共交通通达情况较差，有5、122路经过、停车便捷程度，综合评价交通便捷度一般</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2197</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t="str">
        <f>估价对象房地状况!C24</f>
        <v>次干道-新华大道</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2195</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估价对象所在区域公共配套设施齐备情况较差</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六通</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区域自然环境：；人文环境；综合评价环境状况较差</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f>估价对象房地状况!C15</f>
        <v>0</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估价对象周边道路状况一般、公共交通通达情况较差，有5、122路经过、停车便捷程度，综合评价交通便捷度一般</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t="str">
        <f>估价对象房地状况!C24</f>
        <v>次干道-新华大道</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估价对象所在区域公共配套设施齐备情况较差</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六通</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2195</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区域自然环境：；人文环境；综合评价环境状况较差</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2195</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2195</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估价对象所在区域公共配套设施齐备情况较差</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六通</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区域自然环境：；人文环境；综合评价环境状况较差</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1" t="s">
        <v>1172</v>
      </c>
      <c r="B104" s="3891"/>
      <c r="C104" s="3891"/>
      <c r="D104" s="3891"/>
      <c r="E104" s="3891"/>
      <c r="F104" s="3891"/>
      <c r="G104" s="3891"/>
      <c r="H104" s="3891"/>
      <c r="I104" s="3891"/>
      <c r="J104" s="3891"/>
      <c r="K104" s="2103"/>
      <c r="L104" s="2103"/>
      <c r="M104" s="2103"/>
      <c r="N104" s="2103"/>
    </row>
    <row r="105" spans="1:36">
      <c r="A105" s="3892" t="s">
        <v>1161</v>
      </c>
      <c r="B105" s="3892" t="s">
        <v>1173</v>
      </c>
      <c r="C105" s="1041" t="s">
        <v>1174</v>
      </c>
      <c r="D105" s="1042"/>
      <c r="E105" s="1042"/>
      <c r="F105" s="1042"/>
      <c r="G105" s="1042"/>
      <c r="H105" s="1042"/>
      <c r="I105" s="1042"/>
      <c r="J105" s="1043"/>
      <c r="K105" s="1035"/>
      <c r="L105" s="1035"/>
      <c r="M105" s="1035"/>
      <c r="N105" s="1035"/>
    </row>
    <row r="106" spans="1:36">
      <c r="A106" s="3892"/>
      <c r="B106" s="389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9"/>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8" t="s">
        <v>1175</v>
      </c>
      <c r="B114" s="3888"/>
      <c r="C114" s="3888"/>
      <c r="D114" s="3888"/>
      <c r="E114" s="3888"/>
      <c r="F114" s="3888"/>
      <c r="G114" s="3888"/>
      <c r="H114" s="3888"/>
      <c r="I114" s="3888"/>
      <c r="J114" s="388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8" t="s">
        <v>2457</v>
      </c>
      <c r="D19" s="3259"/>
      <c r="E19" s="3253" t="s">
        <v>2458</v>
      </c>
      <c r="F19" s="1033"/>
      <c r="G19" s="1033"/>
    </row>
    <row r="20" spans="1:13" s="1408" customFormat="1">
      <c r="A20" s="3907" t="s">
        <v>2449</v>
      </c>
      <c r="B20" s="3910" t="s">
        <v>2459</v>
      </c>
      <c r="C20" s="3260" t="s">
        <v>2460</v>
      </c>
      <c r="D20" s="3261"/>
      <c r="E20" s="3262">
        <v>1</v>
      </c>
      <c r="F20" s="3263" t="s">
        <v>2461</v>
      </c>
      <c r="G20" s="1035"/>
      <c r="H20" s="1025"/>
      <c r="I20" s="1025"/>
    </row>
    <row r="21" spans="1:13" s="1408" customFormat="1">
      <c r="A21" s="3908"/>
      <c r="B21" s="3906"/>
      <c r="C21" s="3264" t="s">
        <v>2462</v>
      </c>
      <c r="D21" s="3265"/>
      <c r="E21" s="3266">
        <v>1</v>
      </c>
      <c r="F21" s="3263" t="s">
        <v>2463</v>
      </c>
      <c r="G21" s="1035"/>
      <c r="H21" s="1025"/>
      <c r="I21" s="1025"/>
    </row>
    <row r="22" spans="1:13" s="1408" customFormat="1">
      <c r="A22" s="3908"/>
      <c r="B22" s="3906"/>
      <c r="C22" s="3264" t="s">
        <v>2464</v>
      </c>
      <c r="D22" s="3265"/>
      <c r="E22" s="3266">
        <v>0.9</v>
      </c>
      <c r="F22" s="3263" t="s">
        <v>2465</v>
      </c>
      <c r="G22" s="1035"/>
      <c r="H22" s="1025"/>
      <c r="I22" s="1025"/>
    </row>
    <row r="23" spans="1:13" s="1408" customFormat="1">
      <c r="A23" s="3908"/>
      <c r="B23" s="3906"/>
      <c r="C23" s="3264" t="s">
        <v>2466</v>
      </c>
      <c r="D23" s="3265"/>
      <c r="E23" s="3266">
        <v>0.9</v>
      </c>
      <c r="F23" s="3263" t="s">
        <v>2467</v>
      </c>
      <c r="G23" s="1035"/>
      <c r="H23" s="1025"/>
      <c r="I23" s="1025"/>
    </row>
    <row r="24" spans="1:13" s="1408" customFormat="1">
      <c r="A24" s="3908"/>
      <c r="B24" s="3906"/>
      <c r="C24" s="3264" t="s">
        <v>2468</v>
      </c>
      <c r="D24" s="3265"/>
      <c r="E24" s="3266">
        <v>0.8</v>
      </c>
      <c r="F24" s="3263" t="s">
        <v>2469</v>
      </c>
      <c r="G24" s="1035"/>
      <c r="H24" s="1025"/>
      <c r="I24" s="1025"/>
    </row>
    <row r="25" spans="1:13" s="1408" customFormat="1" ht="14.25" thickBot="1">
      <c r="A25" s="3909"/>
      <c r="B25" s="3911"/>
      <c r="C25" s="3267" t="s">
        <v>2470</v>
      </c>
      <c r="D25" s="3268"/>
      <c r="E25" s="3269">
        <v>0.8</v>
      </c>
      <c r="F25" s="3263" t="s">
        <v>2471</v>
      </c>
      <c r="G25" s="1035"/>
      <c r="H25" s="1025"/>
      <c r="I25" s="1025"/>
    </row>
    <row r="26" spans="1:13" s="1408" customFormat="1" ht="14.25" thickBot="1">
      <c r="A26" s="3270" t="s">
        <v>2450</v>
      </c>
      <c r="B26" s="3271" t="s">
        <v>2459</v>
      </c>
      <c r="C26" s="3272" t="s">
        <v>2472</v>
      </c>
      <c r="D26" s="3273"/>
      <c r="E26" s="3274">
        <v>1</v>
      </c>
      <c r="F26" s="3263" t="s">
        <v>2473</v>
      </c>
      <c r="G26" s="1035"/>
      <c r="H26" s="1025"/>
      <c r="I26" s="1025"/>
    </row>
    <row r="27" spans="1:13" s="1408" customFormat="1">
      <c r="A27" s="3912" t="s">
        <v>2454</v>
      </c>
      <c r="B27" s="3910" t="s">
        <v>2454</v>
      </c>
      <c r="C27" s="3260" t="s">
        <v>2474</v>
      </c>
      <c r="D27" s="3261"/>
      <c r="E27" s="3262">
        <v>1</v>
      </c>
      <c r="F27" s="3263" t="s">
        <v>2475</v>
      </c>
      <c r="G27" s="1035"/>
      <c r="H27" s="1025"/>
      <c r="I27" s="1025"/>
    </row>
    <row r="28" spans="1:13" s="1408" customFormat="1">
      <c r="A28" s="3913"/>
      <c r="B28" s="3906"/>
      <c r="C28" s="3264" t="s">
        <v>2476</v>
      </c>
      <c r="D28" s="3265"/>
      <c r="E28" s="3266">
        <v>1</v>
      </c>
      <c r="F28" s="3263" t="s">
        <v>2477</v>
      </c>
      <c r="G28" s="1035"/>
      <c r="H28" s="1025"/>
      <c r="I28" s="1025"/>
    </row>
    <row r="29" spans="1:13" s="1408" customFormat="1">
      <c r="A29" s="3913"/>
      <c r="B29" s="3906"/>
      <c r="C29" s="3264" t="s">
        <v>2478</v>
      </c>
      <c r="D29" s="3265"/>
      <c r="E29" s="3266">
        <v>0.8</v>
      </c>
      <c r="F29" s="3263" t="s">
        <v>2479</v>
      </c>
      <c r="G29" s="1035"/>
      <c r="H29" s="1025"/>
      <c r="I29" s="1025"/>
    </row>
    <row r="30" spans="1:13" s="1408" customFormat="1">
      <c r="A30" s="3913"/>
      <c r="B30" s="3906"/>
      <c r="C30" s="3264" t="s">
        <v>2480</v>
      </c>
      <c r="D30" s="3265"/>
      <c r="E30" s="3266">
        <v>0.8</v>
      </c>
      <c r="F30" s="3263" t="s">
        <v>2481</v>
      </c>
      <c r="G30" s="1035"/>
      <c r="H30" s="1025"/>
      <c r="I30" s="1025"/>
    </row>
    <row r="31" spans="1:13" s="1408" customFormat="1">
      <c r="A31" s="3913"/>
      <c r="B31" s="3906"/>
      <c r="C31" s="3264" t="s">
        <v>2482</v>
      </c>
      <c r="D31" s="3265"/>
      <c r="E31" s="3266">
        <v>0.8</v>
      </c>
      <c r="F31" s="3263" t="s">
        <v>2483</v>
      </c>
      <c r="G31" s="1035"/>
      <c r="H31" s="1025"/>
      <c r="I31" s="1025"/>
    </row>
    <row r="32" spans="1:13" s="1408" customFormat="1">
      <c r="A32" s="3913"/>
      <c r="B32" s="3906"/>
      <c r="C32" s="3264" t="s">
        <v>2484</v>
      </c>
      <c r="D32" s="3265"/>
      <c r="E32" s="3266">
        <v>0.7</v>
      </c>
      <c r="F32" s="3263" t="s">
        <v>2485</v>
      </c>
      <c r="G32" s="1035"/>
      <c r="H32" s="1025"/>
      <c r="I32" s="1025"/>
    </row>
    <row r="33" spans="1:9" s="1408" customFormat="1">
      <c r="A33" s="3913"/>
      <c r="B33" s="3906"/>
      <c r="C33" s="3264" t="s">
        <v>2486</v>
      </c>
      <c r="D33" s="3265"/>
      <c r="E33" s="3266">
        <v>0.8</v>
      </c>
      <c r="F33" s="3263" t="s">
        <v>2487</v>
      </c>
      <c r="G33" s="1035"/>
      <c r="H33" s="1025"/>
      <c r="I33" s="1025"/>
    </row>
    <row r="34" spans="1:9" s="1408" customFormat="1">
      <c r="A34" s="3913"/>
      <c r="B34" s="3906"/>
      <c r="C34" s="3264" t="s">
        <v>2488</v>
      </c>
      <c r="D34" s="3265"/>
      <c r="E34" s="3266">
        <v>0.6</v>
      </c>
      <c r="F34" s="3263" t="s">
        <v>2489</v>
      </c>
      <c r="G34" s="1035"/>
      <c r="H34" s="1025"/>
      <c r="I34" s="1025"/>
    </row>
    <row r="35" spans="1:9" s="1408" customFormat="1">
      <c r="A35" s="3913"/>
      <c r="B35" s="3906"/>
      <c r="C35" s="3264" t="s">
        <v>2490</v>
      </c>
      <c r="D35" s="3265"/>
      <c r="E35" s="3266">
        <v>0.2</v>
      </c>
      <c r="F35" s="3263" t="s">
        <v>2491</v>
      </c>
      <c r="G35" s="1035"/>
      <c r="H35" s="1025"/>
      <c r="I35" s="1025"/>
    </row>
    <row r="36" spans="1:9" s="1408" customFormat="1">
      <c r="A36" s="3913"/>
      <c r="B36" s="3906"/>
      <c r="C36" s="3264" t="s">
        <v>2492</v>
      </c>
      <c r="D36" s="3265"/>
      <c r="E36" s="3266">
        <v>0.2</v>
      </c>
      <c r="F36" s="3263" t="s">
        <v>2493</v>
      </c>
      <c r="G36" s="1035"/>
      <c r="H36" s="1025"/>
      <c r="I36" s="1025"/>
    </row>
    <row r="37" spans="1:9" s="1408" customFormat="1">
      <c r="A37" s="3913"/>
      <c r="B37" s="3904" t="s">
        <v>2494</v>
      </c>
      <c r="C37" s="3264" t="s">
        <v>2495</v>
      </c>
      <c r="D37" s="3265"/>
      <c r="E37" s="3266">
        <v>0.6</v>
      </c>
      <c r="F37" s="3263" t="s">
        <v>2496</v>
      </c>
      <c r="G37" s="1035"/>
      <c r="H37" s="1025"/>
      <c r="I37" s="1025"/>
    </row>
    <row r="38" spans="1:9" s="1408" customFormat="1">
      <c r="A38" s="3913"/>
      <c r="B38" s="3906"/>
      <c r="C38" s="3264" t="s">
        <v>2497</v>
      </c>
      <c r="D38" s="3265"/>
      <c r="E38" s="3266">
        <v>0.6</v>
      </c>
      <c r="F38" s="3263" t="s">
        <v>2498</v>
      </c>
      <c r="G38" s="1035"/>
      <c r="H38" s="1025"/>
      <c r="I38" s="1025"/>
    </row>
    <row r="39" spans="1:9" s="1408" customFormat="1" ht="14.25" thickBot="1">
      <c r="A39" s="3914"/>
      <c r="B39" s="3911"/>
      <c r="C39" s="3267" t="s">
        <v>2499</v>
      </c>
      <c r="D39" s="3268"/>
      <c r="E39" s="3269">
        <v>0.6</v>
      </c>
      <c r="F39" s="3263" t="s">
        <v>2500</v>
      </c>
      <c r="G39" s="1035"/>
      <c r="H39" s="1025"/>
      <c r="I39" s="1025"/>
    </row>
    <row r="40" spans="1:9" s="1408" customFormat="1" ht="14.25" thickBot="1">
      <c r="A40" s="3270" t="s">
        <v>2451</v>
      </c>
      <c r="B40" s="3271" t="s">
        <v>2451</v>
      </c>
      <c r="C40" s="3272" t="s">
        <v>2501</v>
      </c>
      <c r="D40" s="3273"/>
      <c r="E40" s="3274">
        <v>1</v>
      </c>
      <c r="F40" s="3263" t="s">
        <v>2502</v>
      </c>
      <c r="G40" s="1035"/>
      <c r="H40" s="1025"/>
      <c r="I40" s="1025"/>
    </row>
    <row r="41" spans="1:9" s="1408" customFormat="1">
      <c r="A41" s="3907" t="s">
        <v>2452</v>
      </c>
      <c r="B41" s="3910" t="s">
        <v>2503</v>
      </c>
      <c r="C41" s="3260" t="s">
        <v>2504</v>
      </c>
      <c r="D41" s="3261"/>
      <c r="E41" s="3262">
        <v>1</v>
      </c>
      <c r="F41" s="3263" t="s">
        <v>2505</v>
      </c>
      <c r="G41" s="1035"/>
      <c r="H41" s="1025"/>
      <c r="I41" s="1025"/>
    </row>
    <row r="42" spans="1:9" s="1408" customFormat="1">
      <c r="A42" s="3908"/>
      <c r="B42" s="3906"/>
      <c r="C42" s="3264" t="s">
        <v>2506</v>
      </c>
      <c r="D42" s="3265"/>
      <c r="E42" s="3266">
        <v>1</v>
      </c>
      <c r="F42" s="3263" t="s">
        <v>2507</v>
      </c>
      <c r="G42" s="1035"/>
      <c r="H42" s="1025"/>
      <c r="I42" s="1025"/>
    </row>
    <row r="43" spans="1:9" s="1408" customFormat="1">
      <c r="A43" s="3908"/>
      <c r="B43" s="3905"/>
      <c r="C43" s="3264" t="s">
        <v>2508</v>
      </c>
      <c r="D43" s="3265"/>
      <c r="E43" s="3266">
        <v>1.5</v>
      </c>
      <c r="F43" s="3263" t="s">
        <v>2509</v>
      </c>
      <c r="G43" s="1035"/>
      <c r="H43" s="1025"/>
      <c r="I43" s="1025"/>
    </row>
    <row r="44" spans="1:9" s="1408" customFormat="1">
      <c r="A44" s="3908"/>
      <c r="B44" s="3275" t="s">
        <v>2454</v>
      </c>
      <c r="C44" s="3264" t="s">
        <v>2453</v>
      </c>
      <c r="D44" s="3265"/>
      <c r="E44" s="3266">
        <v>2</v>
      </c>
      <c r="F44" s="3263" t="s">
        <v>2510</v>
      </c>
      <c r="G44" s="1035"/>
      <c r="H44" s="1025"/>
      <c r="I44" s="1025"/>
    </row>
    <row r="45" spans="1:9" s="1408" customFormat="1">
      <c r="A45" s="3908"/>
      <c r="B45" s="3904" t="s">
        <v>2511</v>
      </c>
      <c r="C45" s="3264" t="s">
        <v>2512</v>
      </c>
      <c r="D45" s="3265"/>
      <c r="E45" s="3266">
        <v>1</v>
      </c>
      <c r="F45" s="3263" t="s">
        <v>2513</v>
      </c>
      <c r="G45" s="1035"/>
      <c r="H45" s="1025"/>
      <c r="I45" s="1025"/>
    </row>
    <row r="46" spans="1:9" s="1408" customFormat="1">
      <c r="A46" s="3908"/>
      <c r="B46" s="3906"/>
      <c r="C46" s="3264" t="s">
        <v>2514</v>
      </c>
      <c r="D46" s="3265"/>
      <c r="E46" s="3266">
        <v>1</v>
      </c>
      <c r="F46" s="3263" t="s">
        <v>2515</v>
      </c>
      <c r="G46" s="1035"/>
      <c r="H46" s="1025"/>
      <c r="I46" s="1025"/>
    </row>
    <row r="47" spans="1:9" s="1408" customFormat="1">
      <c r="A47" s="3908"/>
      <c r="B47" s="3906"/>
      <c r="C47" s="3264" t="s">
        <v>2516</v>
      </c>
      <c r="D47" s="3265"/>
      <c r="E47" s="3266">
        <v>1</v>
      </c>
      <c r="F47" s="3263" t="s">
        <v>2517</v>
      </c>
      <c r="G47" s="1035"/>
      <c r="H47" s="1025"/>
      <c r="I47" s="1025"/>
    </row>
    <row r="48" spans="1:9" s="1408" customFormat="1">
      <c r="A48" s="3908"/>
      <c r="B48" s="3906"/>
      <c r="C48" s="3264" t="s">
        <v>2518</v>
      </c>
      <c r="D48" s="3265"/>
      <c r="E48" s="3266">
        <v>1</v>
      </c>
      <c r="F48" s="3263" t="s">
        <v>2519</v>
      </c>
      <c r="G48" s="1035"/>
      <c r="H48" s="1025"/>
      <c r="I48" s="1025"/>
    </row>
    <row r="49" spans="1:9" s="1408" customFormat="1">
      <c r="A49" s="3908"/>
      <c r="B49" s="3906"/>
      <c r="C49" s="3264" t="s">
        <v>2520</v>
      </c>
      <c r="D49" s="3265"/>
      <c r="E49" s="3266">
        <v>1</v>
      </c>
      <c r="F49" s="3263" t="s">
        <v>2521</v>
      </c>
      <c r="G49" s="1035"/>
      <c r="H49" s="1025"/>
      <c r="I49" s="1025"/>
    </row>
    <row r="50" spans="1:9" s="1408" customFormat="1">
      <c r="A50" s="3908"/>
      <c r="B50" s="3906"/>
      <c r="C50" s="3264" t="s">
        <v>2522</v>
      </c>
      <c r="D50" s="3265"/>
      <c r="E50" s="3266">
        <v>1</v>
      </c>
      <c r="F50" s="3263" t="s">
        <v>2523</v>
      </c>
      <c r="G50" s="1035"/>
      <c r="H50" s="1025"/>
      <c r="I50" s="1025"/>
    </row>
    <row r="51" spans="1:9" s="1408" customFormat="1" ht="14.25" thickBot="1">
      <c r="A51" s="3909"/>
      <c r="B51" s="3911"/>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c r="A73" s="3275">
        <v>1</v>
      </c>
      <c r="B73" s="3904" t="s">
        <v>2527</v>
      </c>
      <c r="C73" s="3253" t="s">
        <v>2528</v>
      </c>
      <c r="D73" s="3253" t="s">
        <v>2529</v>
      </c>
      <c r="E73" s="3276">
        <v>0.2</v>
      </c>
      <c r="F73" s="3275">
        <v>25</v>
      </c>
      <c r="H73" s="1025">
        <f>SUMIF(C71:C139,基准地价!C8,E71:E139)</f>
        <v>0</v>
      </c>
    </row>
    <row r="74" spans="1:8" s="1025" customFormat="1" ht="24">
      <c r="A74" s="3275">
        <v>2</v>
      </c>
      <c r="B74" s="3906"/>
      <c r="C74" s="3253" t="s">
        <v>2530</v>
      </c>
      <c r="D74" s="3253" t="s">
        <v>2531</v>
      </c>
      <c r="E74" s="3276">
        <v>0.2</v>
      </c>
      <c r="F74" s="3275">
        <v>25</v>
      </c>
    </row>
    <row r="75" spans="1:8" s="1025" customFormat="1" ht="24">
      <c r="A75" s="3275">
        <v>3</v>
      </c>
      <c r="B75" s="3906"/>
      <c r="C75" s="3253" t="s">
        <v>2532</v>
      </c>
      <c r="D75" s="3253" t="s">
        <v>2533</v>
      </c>
      <c r="E75" s="3276">
        <v>0.2</v>
      </c>
      <c r="F75" s="3275">
        <v>25</v>
      </c>
    </row>
    <row r="76" spans="1:8" s="1025" customFormat="1">
      <c r="A76" s="3275">
        <v>4</v>
      </c>
      <c r="B76" s="3906"/>
      <c r="C76" s="3253" t="s">
        <v>2534</v>
      </c>
      <c r="D76" s="3253" t="s">
        <v>2535</v>
      </c>
      <c r="E76" s="3276">
        <v>0.15</v>
      </c>
      <c r="F76" s="3275">
        <v>20</v>
      </c>
    </row>
    <row r="77" spans="1:8" s="1025" customFormat="1" ht="24">
      <c r="A77" s="3275">
        <v>5</v>
      </c>
      <c r="B77" s="3906"/>
      <c r="C77" s="3253" t="s">
        <v>2536</v>
      </c>
      <c r="D77" s="3253" t="s">
        <v>2537</v>
      </c>
      <c r="E77" s="3276">
        <v>0.15</v>
      </c>
      <c r="F77" s="3275">
        <v>20</v>
      </c>
    </row>
    <row r="78" spans="1:8" s="1025" customFormat="1" ht="24">
      <c r="A78" s="3275">
        <v>6</v>
      </c>
      <c r="B78" s="3906"/>
      <c r="C78" s="3253" t="s">
        <v>2538</v>
      </c>
      <c r="D78" s="3253" t="s">
        <v>2539</v>
      </c>
      <c r="E78" s="3276">
        <v>0.15</v>
      </c>
      <c r="F78" s="3275">
        <v>20</v>
      </c>
    </row>
    <row r="79" spans="1:8" s="1025" customFormat="1" ht="24">
      <c r="A79" s="3275">
        <v>7</v>
      </c>
      <c r="B79" s="3906"/>
      <c r="C79" s="3253" t="s">
        <v>2540</v>
      </c>
      <c r="D79" s="3253" t="s">
        <v>2541</v>
      </c>
      <c r="E79" s="3276">
        <v>0.15</v>
      </c>
      <c r="F79" s="3275">
        <v>20</v>
      </c>
    </row>
    <row r="80" spans="1:8" s="1025" customFormat="1" ht="24">
      <c r="A80" s="3275">
        <v>8</v>
      </c>
      <c r="B80" s="3906"/>
      <c r="C80" s="3253" t="s">
        <v>2542</v>
      </c>
      <c r="D80" s="3253" t="s">
        <v>2543</v>
      </c>
      <c r="E80" s="3276">
        <v>0.1</v>
      </c>
      <c r="F80" s="3275">
        <v>15</v>
      </c>
    </row>
    <row r="81" spans="1:6" s="1025" customFormat="1" ht="24">
      <c r="A81" s="3275">
        <v>9</v>
      </c>
      <c r="B81" s="3906"/>
      <c r="C81" s="3253" t="s">
        <v>2544</v>
      </c>
      <c r="D81" s="3253" t="s">
        <v>2545</v>
      </c>
      <c r="E81" s="3276">
        <v>0.1</v>
      </c>
      <c r="F81" s="3275">
        <v>15</v>
      </c>
    </row>
    <row r="82" spans="1:6" s="1025" customFormat="1" ht="24">
      <c r="A82" s="3275">
        <v>10</v>
      </c>
      <c r="B82" s="3906"/>
      <c r="C82" s="3253" t="s">
        <v>2546</v>
      </c>
      <c r="D82" s="3253" t="s">
        <v>2547</v>
      </c>
      <c r="E82" s="3276">
        <v>0.1</v>
      </c>
      <c r="F82" s="3275">
        <v>15</v>
      </c>
    </row>
    <row r="83" spans="1:6" s="1025" customFormat="1" ht="24">
      <c r="A83" s="3275">
        <v>11</v>
      </c>
      <c r="B83" s="3906"/>
      <c r="C83" s="3253" t="s">
        <v>2548</v>
      </c>
      <c r="D83" s="3253" t="s">
        <v>2549</v>
      </c>
      <c r="E83" s="3276">
        <v>0.1</v>
      </c>
      <c r="F83" s="3275">
        <v>15</v>
      </c>
    </row>
    <row r="84" spans="1:6" s="1025" customFormat="1" ht="24">
      <c r="A84" s="3275">
        <v>12</v>
      </c>
      <c r="B84" s="3906"/>
      <c r="C84" s="3253" t="s">
        <v>2550</v>
      </c>
      <c r="D84" s="3253" t="s">
        <v>2551</v>
      </c>
      <c r="E84" s="3276">
        <v>0.1</v>
      </c>
      <c r="F84" s="3275">
        <v>15</v>
      </c>
    </row>
    <row r="85" spans="1:6" s="1025" customFormat="1">
      <c r="A85" s="3275">
        <v>13</v>
      </c>
      <c r="B85" s="3906"/>
      <c r="C85" s="3253" t="s">
        <v>2552</v>
      </c>
      <c r="D85" s="3253" t="s">
        <v>2553</v>
      </c>
      <c r="E85" s="3276">
        <v>0.1</v>
      </c>
      <c r="F85" s="3275">
        <v>15</v>
      </c>
    </row>
    <row r="86" spans="1:6" s="1025" customFormat="1">
      <c r="A86" s="3275">
        <v>14</v>
      </c>
      <c r="B86" s="3906"/>
      <c r="C86" s="3253" t="s">
        <v>2554</v>
      </c>
      <c r="D86" s="3253" t="s">
        <v>2555</v>
      </c>
      <c r="E86" s="3276">
        <v>0.1</v>
      </c>
      <c r="F86" s="3275">
        <v>15</v>
      </c>
    </row>
    <row r="87" spans="1:6" s="1025" customFormat="1">
      <c r="A87" s="3275">
        <v>15</v>
      </c>
      <c r="B87" s="3906"/>
      <c r="C87" s="3253" t="s">
        <v>2556</v>
      </c>
      <c r="D87" s="3253" t="s">
        <v>2557</v>
      </c>
      <c r="E87" s="3276">
        <v>0.1</v>
      </c>
      <c r="F87" s="3275">
        <v>15</v>
      </c>
    </row>
    <row r="88" spans="1:6" s="1025" customFormat="1" ht="24">
      <c r="A88" s="3275">
        <v>16</v>
      </c>
      <c r="B88" s="3906"/>
      <c r="C88" s="3253" t="s">
        <v>2558</v>
      </c>
      <c r="D88" s="3253" t="s">
        <v>2559</v>
      </c>
      <c r="E88" s="3276">
        <v>0.1</v>
      </c>
      <c r="F88" s="3275">
        <v>15</v>
      </c>
    </row>
    <row r="89" spans="1:6" s="1025" customFormat="1" ht="24">
      <c r="A89" s="3275">
        <v>17</v>
      </c>
      <c r="B89" s="3905"/>
      <c r="C89" s="3253" t="s">
        <v>2560</v>
      </c>
      <c r="D89" s="3253" t="s">
        <v>2561</v>
      </c>
      <c r="E89" s="3276">
        <v>0.1</v>
      </c>
      <c r="F89" s="3275">
        <v>15</v>
      </c>
    </row>
    <row r="90" spans="1:6" s="1025" customFormat="1">
      <c r="A90" s="3275">
        <v>18</v>
      </c>
      <c r="B90" s="3904" t="s">
        <v>2562</v>
      </c>
      <c r="C90" s="3253" t="s">
        <v>2563</v>
      </c>
      <c r="D90" s="3253" t="s">
        <v>2564</v>
      </c>
      <c r="E90" s="3276">
        <v>0.2</v>
      </c>
      <c r="F90" s="3275">
        <v>25</v>
      </c>
    </row>
    <row r="91" spans="1:6" s="1025" customFormat="1" ht="24">
      <c r="A91" s="3275">
        <v>19</v>
      </c>
      <c r="B91" s="3906"/>
      <c r="C91" s="3253" t="s">
        <v>2565</v>
      </c>
      <c r="D91" s="3253" t="s">
        <v>2566</v>
      </c>
      <c r="E91" s="3276">
        <v>0.2</v>
      </c>
      <c r="F91" s="3275">
        <v>25</v>
      </c>
    </row>
    <row r="92" spans="1:6" s="1025" customFormat="1">
      <c r="A92" s="3275">
        <v>20</v>
      </c>
      <c r="B92" s="3906"/>
      <c r="C92" s="3253" t="s">
        <v>2567</v>
      </c>
      <c r="D92" s="3253" t="s">
        <v>2568</v>
      </c>
      <c r="E92" s="3276">
        <v>0.15</v>
      </c>
      <c r="F92" s="3275">
        <v>20</v>
      </c>
    </row>
    <row r="93" spans="1:6" s="1025" customFormat="1" ht="24">
      <c r="A93" s="3275">
        <v>21</v>
      </c>
      <c r="B93" s="3906"/>
      <c r="C93" s="3253" t="s">
        <v>2569</v>
      </c>
      <c r="D93" s="3253" t="s">
        <v>2570</v>
      </c>
      <c r="E93" s="3276">
        <v>0.15</v>
      </c>
      <c r="F93" s="3275">
        <v>20</v>
      </c>
    </row>
    <row r="94" spans="1:6" s="1025" customFormat="1" ht="24">
      <c r="A94" s="3275">
        <v>22</v>
      </c>
      <c r="B94" s="3906"/>
      <c r="C94" s="3253" t="s">
        <v>2571</v>
      </c>
      <c r="D94" s="3253" t="s">
        <v>2572</v>
      </c>
      <c r="E94" s="3276">
        <v>0.15</v>
      </c>
      <c r="F94" s="3275">
        <v>20</v>
      </c>
    </row>
    <row r="95" spans="1:6" s="1025" customFormat="1" ht="36">
      <c r="A95" s="3275">
        <v>23</v>
      </c>
      <c r="B95" s="3906"/>
      <c r="C95" s="3253" t="s">
        <v>2573</v>
      </c>
      <c r="D95" s="3253" t="s">
        <v>2574</v>
      </c>
      <c r="E95" s="3276">
        <v>0.15</v>
      </c>
      <c r="F95" s="3275">
        <v>20</v>
      </c>
    </row>
    <row r="96" spans="1:6" s="1025" customFormat="1">
      <c r="A96" s="3275">
        <v>24</v>
      </c>
      <c r="B96" s="3906"/>
      <c r="C96" s="3253" t="s">
        <v>2575</v>
      </c>
      <c r="D96" s="3253" t="s">
        <v>2576</v>
      </c>
      <c r="E96" s="3276">
        <v>0.1</v>
      </c>
      <c r="F96" s="3275">
        <v>15</v>
      </c>
    </row>
    <row r="97" spans="1:6" s="1025" customFormat="1" ht="24">
      <c r="A97" s="3275">
        <v>25</v>
      </c>
      <c r="B97" s="3906"/>
      <c r="C97" s="3253" t="s">
        <v>2577</v>
      </c>
      <c r="D97" s="3253" t="s">
        <v>2578</v>
      </c>
      <c r="E97" s="3276">
        <v>0.1</v>
      </c>
      <c r="F97" s="3275">
        <v>15</v>
      </c>
    </row>
    <row r="98" spans="1:6" s="1025" customFormat="1" ht="24">
      <c r="A98" s="3275">
        <v>26</v>
      </c>
      <c r="B98" s="3906"/>
      <c r="C98" s="3253" t="s">
        <v>2579</v>
      </c>
      <c r="D98" s="3253" t="s">
        <v>2580</v>
      </c>
      <c r="E98" s="3276">
        <v>0.1</v>
      </c>
      <c r="F98" s="3275">
        <v>15</v>
      </c>
    </row>
    <row r="99" spans="1:6" s="1025" customFormat="1" ht="24">
      <c r="A99" s="3275">
        <v>27</v>
      </c>
      <c r="B99" s="3906"/>
      <c r="C99" s="3253" t="s">
        <v>2581</v>
      </c>
      <c r="D99" s="3253" t="s">
        <v>2582</v>
      </c>
      <c r="E99" s="3276">
        <v>0.1</v>
      </c>
      <c r="F99" s="3275">
        <v>15</v>
      </c>
    </row>
    <row r="100" spans="1:6" s="1025" customFormat="1" ht="24">
      <c r="A100" s="3275">
        <v>28</v>
      </c>
      <c r="B100" s="3906"/>
      <c r="C100" s="3253" t="s">
        <v>2583</v>
      </c>
      <c r="D100" s="3253" t="s">
        <v>2584</v>
      </c>
      <c r="E100" s="3276">
        <v>0.1</v>
      </c>
      <c r="F100" s="3275">
        <v>15</v>
      </c>
    </row>
    <row r="101" spans="1:6" s="1025" customFormat="1" ht="24">
      <c r="A101" s="3275">
        <v>29</v>
      </c>
      <c r="B101" s="3906"/>
      <c r="C101" s="3253" t="s">
        <v>2585</v>
      </c>
      <c r="D101" s="3253" t="s">
        <v>2586</v>
      </c>
      <c r="E101" s="3276">
        <v>0.1</v>
      </c>
      <c r="F101" s="3275">
        <v>15</v>
      </c>
    </row>
    <row r="102" spans="1:6" s="1025" customFormat="1" ht="24">
      <c r="A102" s="3275">
        <v>30</v>
      </c>
      <c r="B102" s="3906"/>
      <c r="C102" s="3253" t="s">
        <v>2587</v>
      </c>
      <c r="D102" s="3253" t="s">
        <v>2588</v>
      </c>
      <c r="E102" s="3276">
        <v>0.1</v>
      </c>
      <c r="F102" s="3275">
        <v>15</v>
      </c>
    </row>
    <row r="103" spans="1:6" s="1025" customFormat="1" ht="24">
      <c r="A103" s="3275">
        <v>31</v>
      </c>
      <c r="B103" s="3906"/>
      <c r="C103" s="3253" t="s">
        <v>2589</v>
      </c>
      <c r="D103" s="3253" t="s">
        <v>2590</v>
      </c>
      <c r="E103" s="3276">
        <v>0.1</v>
      </c>
      <c r="F103" s="3275">
        <v>15</v>
      </c>
    </row>
    <row r="104" spans="1:6" s="1025" customFormat="1" ht="24">
      <c r="A104" s="3275">
        <v>32</v>
      </c>
      <c r="B104" s="3906"/>
      <c r="C104" s="3253" t="s">
        <v>2591</v>
      </c>
      <c r="D104" s="3253" t="s">
        <v>2592</v>
      </c>
      <c r="E104" s="3276">
        <v>0.1</v>
      </c>
      <c r="F104" s="3275">
        <v>15</v>
      </c>
    </row>
    <row r="105" spans="1:6" s="1025" customFormat="1" ht="24">
      <c r="A105" s="3275">
        <v>33</v>
      </c>
      <c r="B105" s="3906"/>
      <c r="C105" s="3253" t="s">
        <v>2593</v>
      </c>
      <c r="D105" s="3253" t="s">
        <v>2594</v>
      </c>
      <c r="E105" s="3276">
        <v>0.1</v>
      </c>
      <c r="F105" s="3275">
        <v>15</v>
      </c>
    </row>
    <row r="106" spans="1:6" s="1025" customFormat="1" ht="24">
      <c r="A106" s="3275">
        <v>34</v>
      </c>
      <c r="B106" s="3905"/>
      <c r="C106" s="3253" t="s">
        <v>2595</v>
      </c>
      <c r="D106" s="3253" t="s">
        <v>2596</v>
      </c>
      <c r="E106" s="3276">
        <v>0.1</v>
      </c>
      <c r="F106" s="3275">
        <v>15</v>
      </c>
    </row>
    <row r="107" spans="1:6" s="1025" customFormat="1" ht="24">
      <c r="A107" s="3275">
        <v>35</v>
      </c>
      <c r="B107" s="3904" t="s">
        <v>2597</v>
      </c>
      <c r="C107" s="3275" t="s">
        <v>2598</v>
      </c>
      <c r="D107" s="3253" t="s">
        <v>2599</v>
      </c>
      <c r="E107" s="3276">
        <v>0.15</v>
      </c>
      <c r="F107" s="3275">
        <v>20</v>
      </c>
    </row>
    <row r="108" spans="1:6" s="1025" customFormat="1" ht="24">
      <c r="A108" s="3275">
        <v>36</v>
      </c>
      <c r="B108" s="3906"/>
      <c r="C108" s="3275" t="s">
        <v>2600</v>
      </c>
      <c r="D108" s="3253" t="s">
        <v>2601</v>
      </c>
      <c r="E108" s="3276">
        <v>0.15</v>
      </c>
      <c r="F108" s="3275">
        <v>20</v>
      </c>
    </row>
    <row r="109" spans="1:6" s="1025" customFormat="1" ht="24">
      <c r="A109" s="3275">
        <v>37</v>
      </c>
      <c r="B109" s="3906"/>
      <c r="C109" s="3275" t="s">
        <v>2602</v>
      </c>
      <c r="D109" s="3253" t="s">
        <v>2603</v>
      </c>
      <c r="E109" s="3276">
        <v>0.15</v>
      </c>
      <c r="F109" s="3275">
        <v>20</v>
      </c>
    </row>
    <row r="110" spans="1:6" s="1025" customFormat="1">
      <c r="A110" s="3275">
        <v>38</v>
      </c>
      <c r="B110" s="3906"/>
      <c r="C110" s="3275" t="s">
        <v>2604</v>
      </c>
      <c r="D110" s="3253" t="s">
        <v>2605</v>
      </c>
      <c r="E110" s="3276">
        <v>0.1</v>
      </c>
      <c r="F110" s="3275">
        <v>15</v>
      </c>
    </row>
    <row r="111" spans="1:6" s="1025" customFormat="1" ht="24">
      <c r="A111" s="3275">
        <v>39</v>
      </c>
      <c r="B111" s="3906"/>
      <c r="C111" s="3275" t="s">
        <v>2606</v>
      </c>
      <c r="D111" s="3253" t="s">
        <v>2607</v>
      </c>
      <c r="E111" s="3276">
        <v>0.1</v>
      </c>
      <c r="F111" s="3275">
        <v>15</v>
      </c>
    </row>
    <row r="112" spans="1:6" s="1025" customFormat="1" ht="24">
      <c r="A112" s="3275">
        <v>40</v>
      </c>
      <c r="B112" s="3905"/>
      <c r="C112" s="3275" t="s">
        <v>2608</v>
      </c>
      <c r="D112" s="3253" t="s">
        <v>2609</v>
      </c>
      <c r="E112" s="3276">
        <v>0.1</v>
      </c>
      <c r="F112" s="3275">
        <v>15</v>
      </c>
    </row>
    <row r="113" spans="1:6" s="1025" customFormat="1" ht="24">
      <c r="A113" s="3275">
        <v>41</v>
      </c>
      <c r="B113" s="3903" t="s">
        <v>2610</v>
      </c>
      <c r="C113" s="3275" t="s">
        <v>2611</v>
      </c>
      <c r="D113" s="3253" t="s">
        <v>2612</v>
      </c>
      <c r="E113" s="3276">
        <v>0.1</v>
      </c>
      <c r="F113" s="3275">
        <v>15</v>
      </c>
    </row>
    <row r="114" spans="1:6" s="1025" customFormat="1">
      <c r="A114" s="3275">
        <v>42</v>
      </c>
      <c r="B114" s="3903"/>
      <c r="C114" s="3275" t="s">
        <v>2613</v>
      </c>
      <c r="D114" s="3253" t="s">
        <v>2614</v>
      </c>
      <c r="E114" s="3276">
        <v>0.1</v>
      </c>
      <c r="F114" s="3275">
        <v>15</v>
      </c>
    </row>
    <row r="115" spans="1:6" s="1025" customFormat="1" ht="24">
      <c r="A115" s="3275">
        <v>43</v>
      </c>
      <c r="B115" s="3903"/>
      <c r="C115" s="3275" t="s">
        <v>2615</v>
      </c>
      <c r="D115" s="3253" t="s">
        <v>2616</v>
      </c>
      <c r="E115" s="3276">
        <v>0.1</v>
      </c>
      <c r="F115" s="3275">
        <v>15</v>
      </c>
    </row>
    <row r="116" spans="1:6" s="1025" customFormat="1" ht="24">
      <c r="A116" s="3275">
        <v>44</v>
      </c>
      <c r="B116" s="3904" t="s">
        <v>2617</v>
      </c>
      <c r="C116" s="3275" t="s">
        <v>2618</v>
      </c>
      <c r="D116" s="3253" t="s">
        <v>2619</v>
      </c>
      <c r="E116" s="3276">
        <v>0.1</v>
      </c>
      <c r="F116" s="3275">
        <v>15</v>
      </c>
    </row>
    <row r="117" spans="1:6" s="1025" customFormat="1" ht="24">
      <c r="A117" s="3275">
        <v>45</v>
      </c>
      <c r="B117" s="3905"/>
      <c r="C117" s="3253" t="s">
        <v>2620</v>
      </c>
      <c r="D117" s="3253" t="s">
        <v>2621</v>
      </c>
      <c r="E117" s="3276">
        <v>0.1</v>
      </c>
      <c r="F117" s="3275">
        <v>15</v>
      </c>
    </row>
    <row r="118" spans="1:6" s="1025" customFormat="1" ht="24">
      <c r="A118" s="3275">
        <v>46</v>
      </c>
      <c r="B118" s="3904" t="s">
        <v>2622</v>
      </c>
      <c r="C118" s="3275" t="s">
        <v>2623</v>
      </c>
      <c r="D118" s="3253" t="s">
        <v>2624</v>
      </c>
      <c r="E118" s="3276">
        <v>0.1</v>
      </c>
      <c r="F118" s="3275">
        <v>15</v>
      </c>
    </row>
    <row r="119" spans="1:6" s="1025" customFormat="1" ht="24">
      <c r="A119" s="3275">
        <v>47</v>
      </c>
      <c r="B119" s="3905"/>
      <c r="C119" s="3275" t="s">
        <v>2625</v>
      </c>
      <c r="D119" s="3253" t="s">
        <v>2626</v>
      </c>
      <c r="E119" s="3276">
        <v>0.1</v>
      </c>
      <c r="F119" s="3275">
        <v>15</v>
      </c>
    </row>
    <row r="120" spans="1:6" s="1025" customFormat="1" ht="24">
      <c r="A120" s="3275">
        <v>48</v>
      </c>
      <c r="B120" s="3904" t="s">
        <v>2627</v>
      </c>
      <c r="C120" s="3275" t="s">
        <v>2628</v>
      </c>
      <c r="D120" s="3253" t="s">
        <v>2629</v>
      </c>
      <c r="E120" s="3276">
        <v>0.1</v>
      </c>
      <c r="F120" s="3275">
        <v>15</v>
      </c>
    </row>
    <row r="121" spans="1:6" s="1025" customFormat="1">
      <c r="A121" s="3275">
        <v>49</v>
      </c>
      <c r="B121" s="3905"/>
      <c r="C121" s="3275" t="s">
        <v>2630</v>
      </c>
      <c r="D121" s="3253" t="s">
        <v>2631</v>
      </c>
      <c r="E121" s="3276">
        <v>0.1</v>
      </c>
      <c r="F121" s="3275">
        <v>15</v>
      </c>
    </row>
    <row r="122" spans="1:6" s="1025" customFormat="1" ht="24">
      <c r="A122" s="3275">
        <v>50</v>
      </c>
      <c r="B122" s="3903" t="s">
        <v>2632</v>
      </c>
      <c r="C122" s="3275" t="s">
        <v>2633</v>
      </c>
      <c r="D122" s="3253" t="s">
        <v>2634</v>
      </c>
      <c r="E122" s="3276">
        <v>0.1</v>
      </c>
      <c r="F122" s="3275">
        <v>15</v>
      </c>
    </row>
    <row r="123" spans="1:6" s="1025" customFormat="1" ht="24">
      <c r="A123" s="3275">
        <v>51</v>
      </c>
      <c r="B123" s="3903"/>
      <c r="C123" s="3275" t="s">
        <v>2635</v>
      </c>
      <c r="D123" s="3253" t="s">
        <v>2636</v>
      </c>
      <c r="E123" s="3276">
        <v>0.1</v>
      </c>
      <c r="F123" s="3275">
        <v>15</v>
      </c>
    </row>
    <row r="124" spans="1:6" s="1025" customFormat="1" ht="24">
      <c r="A124" s="3275">
        <v>52</v>
      </c>
      <c r="B124" s="3903" t="s">
        <v>2637</v>
      </c>
      <c r="C124" s="3275" t="s">
        <v>2638</v>
      </c>
      <c r="D124" s="3253" t="s">
        <v>2639</v>
      </c>
      <c r="E124" s="3276">
        <v>0.1</v>
      </c>
      <c r="F124" s="3275">
        <v>15</v>
      </c>
    </row>
    <row r="125" spans="1:6" s="1025" customFormat="1" ht="24">
      <c r="A125" s="3275">
        <v>53</v>
      </c>
      <c r="B125" s="3903"/>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c r="A127" s="3275">
        <v>55</v>
      </c>
      <c r="B127" s="3903" t="s">
        <v>2645</v>
      </c>
      <c r="C127" s="3275" t="s">
        <v>2646</v>
      </c>
      <c r="D127" s="3253" t="s">
        <v>2647</v>
      </c>
      <c r="E127" s="3276">
        <v>0.1</v>
      </c>
      <c r="F127" s="3275">
        <v>15</v>
      </c>
    </row>
    <row r="128" spans="1:6">
      <c r="A128" s="3275">
        <v>56</v>
      </c>
      <c r="B128" s="3903"/>
      <c r="C128" s="3275" t="s">
        <v>2648</v>
      </c>
      <c r="D128" s="3253" t="s">
        <v>2649</v>
      </c>
      <c r="E128" s="3276">
        <v>0.1</v>
      </c>
      <c r="F128" s="3275">
        <v>15</v>
      </c>
    </row>
    <row r="129" spans="1:14" ht="24">
      <c r="A129" s="3275">
        <v>57</v>
      </c>
      <c r="B129" s="3903"/>
      <c r="C129" s="3275" t="s">
        <v>2650</v>
      </c>
      <c r="D129" s="3253" t="s">
        <v>2651</v>
      </c>
      <c r="E129" s="3276">
        <v>0.1</v>
      </c>
      <c r="F129" s="3275">
        <v>15</v>
      </c>
    </row>
    <row r="130" spans="1:14" ht="24">
      <c r="A130" s="3275">
        <v>58</v>
      </c>
      <c r="B130" s="3903" t="s">
        <v>2652</v>
      </c>
      <c r="C130" s="3275" t="s">
        <v>2653</v>
      </c>
      <c r="D130" s="3253" t="s">
        <v>2654</v>
      </c>
      <c r="E130" s="3276">
        <v>0.1</v>
      </c>
      <c r="F130" s="3275">
        <v>15</v>
      </c>
    </row>
    <row r="131" spans="1:14" ht="24">
      <c r="A131" s="3275">
        <v>59</v>
      </c>
      <c r="B131" s="3903"/>
      <c r="C131" s="3275" t="s">
        <v>2655</v>
      </c>
      <c r="D131" s="3253" t="s">
        <v>2656</v>
      </c>
      <c r="E131" s="3276">
        <v>0.1</v>
      </c>
      <c r="F131" s="3275">
        <v>15</v>
      </c>
    </row>
    <row r="132" spans="1:14" ht="24">
      <c r="A132" s="3275">
        <v>60</v>
      </c>
      <c r="B132" s="3904" t="s">
        <v>2657</v>
      </c>
      <c r="C132" s="3275" t="s">
        <v>2658</v>
      </c>
      <c r="D132" s="3253" t="s">
        <v>2659</v>
      </c>
      <c r="E132" s="3276">
        <v>0.1</v>
      </c>
      <c r="F132" s="3275">
        <v>15</v>
      </c>
    </row>
    <row r="133" spans="1:14" ht="24">
      <c r="A133" s="3275">
        <v>61</v>
      </c>
      <c r="B133" s="3905"/>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03" t="s">
        <v>2665</v>
      </c>
      <c r="C135" s="3275" t="s">
        <v>2666</v>
      </c>
      <c r="D135" s="3253" t="s">
        <v>2667</v>
      </c>
      <c r="E135" s="3276">
        <v>0.1</v>
      </c>
      <c r="F135" s="3275">
        <v>15</v>
      </c>
    </row>
    <row r="136" spans="1:14">
      <c r="A136" s="3275">
        <v>64</v>
      </c>
      <c r="B136" s="3903"/>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5" t="s">
        <v>2817</v>
      </c>
      <c r="B1" s="3915"/>
      <c r="C1" s="3915"/>
      <c r="D1" s="3915"/>
      <c r="E1" s="3915"/>
      <c r="F1" s="3915"/>
      <c r="G1" s="391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7" t="s">
        <v>2820</v>
      </c>
      <c r="B3" s="3416"/>
      <c r="C3" s="3417" t="s">
        <v>2797</v>
      </c>
      <c r="D3" s="3417" t="s">
        <v>2821</v>
      </c>
      <c r="E3" s="3417" t="s">
        <v>2799</v>
      </c>
      <c r="F3" s="3417" t="s">
        <v>2822</v>
      </c>
      <c r="G3" s="3417" t="s">
        <v>2737</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18"/>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2762</v>
      </c>
      <c r="B358" s="3451" t="s">
        <v>3011</v>
      </c>
      <c r="C358" s="3451">
        <v>2080</v>
      </c>
      <c r="D358" s="3451">
        <v>2040</v>
      </c>
      <c r="E358" s="3451">
        <v>2010</v>
      </c>
      <c r="F358" s="3451">
        <v>530</v>
      </c>
      <c r="G358" s="3452">
        <v>1230</v>
      </c>
      <c r="H358" s="3446"/>
    </row>
    <row r="359" spans="1:8">
      <c r="A359" s="3453" t="s">
        <v>2762</v>
      </c>
      <c r="B359" s="3433" t="s">
        <v>3012</v>
      </c>
      <c r="C359" s="3433">
        <v>1850</v>
      </c>
      <c r="D359" s="3433">
        <v>1820</v>
      </c>
      <c r="E359" s="3433">
        <v>1780</v>
      </c>
      <c r="F359" s="3433">
        <v>520</v>
      </c>
      <c r="G359" s="3445">
        <v>1100</v>
      </c>
      <c r="H359" s="3446"/>
    </row>
    <row r="360" spans="1:8">
      <c r="A360" s="3453" t="s">
        <v>2762</v>
      </c>
      <c r="B360" s="3433" t="s">
        <v>3013</v>
      </c>
      <c r="C360" s="3433">
        <v>2020</v>
      </c>
      <c r="D360" s="3433">
        <v>1990</v>
      </c>
      <c r="E360" s="3433">
        <v>1950</v>
      </c>
      <c r="F360" s="3433">
        <v>500</v>
      </c>
      <c r="G360" s="3445">
        <v>1200</v>
      </c>
      <c r="H360" s="3446"/>
    </row>
    <row r="361" spans="1:8">
      <c r="A361" s="3453" t="s">
        <v>2762</v>
      </c>
      <c r="B361" s="3433" t="s">
        <v>999</v>
      </c>
      <c r="C361" s="3433">
        <v>2260</v>
      </c>
      <c r="D361" s="3433">
        <v>2220</v>
      </c>
      <c r="E361" s="3433">
        <v>2180</v>
      </c>
      <c r="F361" s="3433">
        <v>580</v>
      </c>
      <c r="G361" s="3445">
        <v>1340</v>
      </c>
      <c r="H361" s="3446"/>
    </row>
    <row r="362" spans="1:8">
      <c r="A362" s="3453" t="s">
        <v>2762</v>
      </c>
      <c r="B362" s="3433" t="s">
        <v>3014</v>
      </c>
      <c r="C362" s="3433">
        <v>2650</v>
      </c>
      <c r="D362" s="3433">
        <v>2610</v>
      </c>
      <c r="E362" s="3433">
        <v>2570</v>
      </c>
      <c r="F362" s="3433">
        <v>630</v>
      </c>
      <c r="G362" s="3445">
        <v>1570</v>
      </c>
      <c r="H362" s="3446"/>
    </row>
    <row r="363" spans="1:8">
      <c r="A363" s="3453" t="s">
        <v>2762</v>
      </c>
      <c r="B363" s="3433" t="s">
        <v>3015</v>
      </c>
      <c r="C363" s="3433">
        <v>2390</v>
      </c>
      <c r="D363" s="3433">
        <v>2360</v>
      </c>
      <c r="E363" s="3433">
        <v>2320</v>
      </c>
      <c r="F363" s="3433">
        <v>600</v>
      </c>
      <c r="G363" s="3445">
        <v>1420</v>
      </c>
      <c r="H363" s="3446"/>
    </row>
    <row r="364" spans="1:8">
      <c r="A364" s="3453" t="s">
        <v>2762</v>
      </c>
      <c r="B364" s="3433" t="s">
        <v>3016</v>
      </c>
      <c r="C364" s="3433">
        <v>2050</v>
      </c>
      <c r="D364" s="3433">
        <v>2030</v>
      </c>
      <c r="E364" s="3433">
        <v>1990</v>
      </c>
      <c r="F364" s="3433">
        <v>550</v>
      </c>
      <c r="G364" s="3445">
        <v>1220</v>
      </c>
      <c r="H364" s="3446"/>
    </row>
    <row r="365" spans="1:8">
      <c r="A365" s="3453" t="s">
        <v>2762</v>
      </c>
      <c r="B365" s="3433" t="s">
        <v>1047</v>
      </c>
      <c r="C365" s="3433">
        <v>2140</v>
      </c>
      <c r="D365" s="3433">
        <v>2100</v>
      </c>
      <c r="E365" s="3433">
        <v>2060</v>
      </c>
      <c r="F365" s="3433">
        <v>540</v>
      </c>
      <c r="G365" s="3445">
        <v>1270</v>
      </c>
      <c r="H365" s="3446"/>
    </row>
    <row r="366" spans="1:8">
      <c r="A366" s="3453" t="s">
        <v>2762</v>
      </c>
      <c r="B366" s="3433" t="s">
        <v>3017</v>
      </c>
      <c r="C366" s="3433">
        <v>2410</v>
      </c>
      <c r="D366" s="3433">
        <v>2370</v>
      </c>
      <c r="E366" s="3433">
        <v>2330</v>
      </c>
      <c r="F366" s="3433">
        <v>570</v>
      </c>
      <c r="G366" s="3445">
        <v>1440</v>
      </c>
      <c r="H366" s="3446"/>
    </row>
    <row r="367" spans="1:8">
      <c r="A367" s="3453" t="s">
        <v>2762</v>
      </c>
      <c r="B367" s="3433" t="s">
        <v>3018</v>
      </c>
      <c r="C367" s="3433">
        <v>2300</v>
      </c>
      <c r="D367" s="3433">
        <v>2260</v>
      </c>
      <c r="E367" s="3433">
        <v>2220</v>
      </c>
      <c r="F367" s="3433">
        <v>560</v>
      </c>
      <c r="G367" s="3445">
        <v>1370</v>
      </c>
      <c r="H367" s="3446"/>
    </row>
    <row r="368" spans="1:8">
      <c r="A368" s="3453" t="s">
        <v>2762</v>
      </c>
      <c r="B368" s="3433" t="s">
        <v>3019</v>
      </c>
      <c r="C368" s="3433">
        <v>2430</v>
      </c>
      <c r="D368" s="3433">
        <v>2390</v>
      </c>
      <c r="E368" s="3433">
        <v>2350</v>
      </c>
      <c r="F368" s="3433">
        <v>570</v>
      </c>
      <c r="G368" s="3445">
        <v>1450</v>
      </c>
      <c r="H368" s="3446"/>
    </row>
    <row r="369" spans="1:8">
      <c r="A369" s="3453" t="s">
        <v>2762</v>
      </c>
      <c r="B369" s="3433" t="s">
        <v>1061</v>
      </c>
      <c r="C369" s="3433">
        <v>2320</v>
      </c>
      <c r="D369" s="3433">
        <v>2290</v>
      </c>
      <c r="E369" s="3433">
        <v>2250</v>
      </c>
      <c r="F369" s="3433">
        <v>550</v>
      </c>
      <c r="G369" s="3445">
        <v>1380</v>
      </c>
      <c r="H369" s="3446"/>
    </row>
    <row r="370" spans="1:8">
      <c r="A370" s="3453" t="s">
        <v>2762</v>
      </c>
      <c r="B370" s="3433" t="s">
        <v>1069</v>
      </c>
      <c r="C370" s="3433">
        <v>2190</v>
      </c>
      <c r="D370" s="3433">
        <v>2170</v>
      </c>
      <c r="E370" s="3433">
        <v>2130</v>
      </c>
      <c r="F370" s="3433">
        <v>530</v>
      </c>
      <c r="G370" s="3445">
        <v>1310</v>
      </c>
      <c r="H370" s="3446"/>
    </row>
    <row r="371" spans="1:8">
      <c r="A371" s="3453" t="s">
        <v>2762</v>
      </c>
      <c r="B371" s="3433" t="s">
        <v>1077</v>
      </c>
      <c r="C371" s="3433">
        <v>2460</v>
      </c>
      <c r="D371" s="3433">
        <v>2420</v>
      </c>
      <c r="E371" s="3433">
        <v>2370</v>
      </c>
      <c r="F371" s="3433">
        <v>560</v>
      </c>
      <c r="G371" s="3445">
        <v>1470</v>
      </c>
      <c r="H371" s="3446"/>
    </row>
    <row r="372" spans="1:8">
      <c r="A372" s="3453" t="s">
        <v>2762</v>
      </c>
      <c r="B372" s="3433" t="s">
        <v>3020</v>
      </c>
      <c r="C372" s="3433">
        <v>2250</v>
      </c>
      <c r="D372" s="3433">
        <v>2210</v>
      </c>
      <c r="E372" s="3433">
        <v>2180</v>
      </c>
      <c r="F372" s="3433">
        <v>550</v>
      </c>
      <c r="G372" s="3445">
        <v>1340</v>
      </c>
      <c r="H372" s="3446"/>
    </row>
    <row r="373" spans="1:8">
      <c r="A373" s="3453" t="s">
        <v>2762</v>
      </c>
      <c r="B373" s="3433" t="s">
        <v>1106</v>
      </c>
      <c r="C373" s="3433">
        <v>2210</v>
      </c>
      <c r="D373" s="3433">
        <v>2190</v>
      </c>
      <c r="E373" s="3433">
        <v>2150</v>
      </c>
      <c r="F373" s="3433">
        <v>530</v>
      </c>
      <c r="G373" s="3445">
        <v>1320</v>
      </c>
      <c r="H373" s="3446"/>
    </row>
    <row r="374" spans="1:8">
      <c r="A374" s="3453" t="s">
        <v>2762</v>
      </c>
      <c r="B374" s="3433" t="s">
        <v>1114</v>
      </c>
      <c r="C374" s="3433">
        <v>2320</v>
      </c>
      <c r="D374" s="3433">
        <v>2280</v>
      </c>
      <c r="E374" s="3433">
        <v>2230</v>
      </c>
      <c r="F374" s="3433">
        <v>580</v>
      </c>
      <c r="G374" s="3445">
        <v>1380</v>
      </c>
      <c r="H374" s="3446"/>
    </row>
    <row r="375" spans="1:8">
      <c r="A375" s="3453" t="s">
        <v>2762</v>
      </c>
      <c r="B375" s="3433" t="s">
        <v>3021</v>
      </c>
      <c r="C375" s="3433">
        <v>2090</v>
      </c>
      <c r="D375" s="3433">
        <v>2050</v>
      </c>
      <c r="E375" s="3433">
        <v>2020</v>
      </c>
      <c r="F375" s="3433">
        <v>520</v>
      </c>
      <c r="G375" s="3445">
        <v>1240</v>
      </c>
      <c r="H375" s="3446"/>
    </row>
    <row r="376" spans="1:8">
      <c r="A376" s="3453" t="s">
        <v>2762</v>
      </c>
      <c r="B376" s="3433" t="s">
        <v>1126</v>
      </c>
      <c r="C376" s="3433">
        <v>2010</v>
      </c>
      <c r="D376" s="3433">
        <v>1980</v>
      </c>
      <c r="E376" s="3433">
        <v>1940</v>
      </c>
      <c r="F376" s="3433">
        <v>540</v>
      </c>
      <c r="G376" s="3445">
        <v>1190</v>
      </c>
      <c r="H376" s="3446"/>
    </row>
    <row r="377" spans="1:8" ht="14.25" thickBot="1">
      <c r="A377" s="3455" t="s">
        <v>2762</v>
      </c>
      <c r="B377" s="3449" t="s">
        <v>3022</v>
      </c>
      <c r="C377" s="3449">
        <v>1930</v>
      </c>
      <c r="D377" s="3449">
        <v>1890</v>
      </c>
      <c r="E377" s="3449">
        <v>1860</v>
      </c>
      <c r="F377" s="3449">
        <v>530</v>
      </c>
      <c r="G377" s="3456">
        <v>1150</v>
      </c>
      <c r="H377" s="3446"/>
    </row>
    <row r="378" spans="1:8">
      <c r="A378" s="3450" t="s">
        <v>2763</v>
      </c>
      <c r="B378" s="3451" t="s">
        <v>3023</v>
      </c>
      <c r="C378" s="3451">
        <v>1520</v>
      </c>
      <c r="D378" s="3451">
        <v>1490</v>
      </c>
      <c r="E378" s="3451">
        <v>1460</v>
      </c>
      <c r="F378" s="3451">
        <v>460</v>
      </c>
      <c r="G378" s="3452">
        <v>940</v>
      </c>
      <c r="H378" s="3446"/>
    </row>
    <row r="379" spans="1:8">
      <c r="A379" s="3453" t="s">
        <v>2763</v>
      </c>
      <c r="B379" s="3433" t="s">
        <v>3024</v>
      </c>
      <c r="C379" s="3433">
        <v>1500</v>
      </c>
      <c r="D379" s="3433">
        <v>1470</v>
      </c>
      <c r="E379" s="3433">
        <v>1430</v>
      </c>
      <c r="F379" s="3433">
        <v>460</v>
      </c>
      <c r="G379" s="3445">
        <v>920</v>
      </c>
      <c r="H379" s="3446"/>
    </row>
    <row r="380" spans="1:8">
      <c r="A380" s="3453" t="s">
        <v>2763</v>
      </c>
      <c r="B380" s="3433" t="s">
        <v>3025</v>
      </c>
      <c r="C380" s="3433">
        <v>1620</v>
      </c>
      <c r="D380" s="3433">
        <v>1590</v>
      </c>
      <c r="E380" s="3433">
        <v>1560</v>
      </c>
      <c r="F380" s="3433">
        <v>480</v>
      </c>
      <c r="G380" s="3445">
        <v>1000</v>
      </c>
      <c r="H380" s="3446"/>
    </row>
    <row r="381" spans="1:8">
      <c r="A381" s="3453" t="s">
        <v>2763</v>
      </c>
      <c r="B381" s="3433" t="s">
        <v>3026</v>
      </c>
      <c r="C381" s="3433">
        <v>1460</v>
      </c>
      <c r="D381" s="3433">
        <v>1430</v>
      </c>
      <c r="E381" s="3433">
        <v>1390</v>
      </c>
      <c r="F381" s="3433">
        <v>450</v>
      </c>
      <c r="G381" s="3445">
        <v>900</v>
      </c>
      <c r="H381" s="3446"/>
    </row>
    <row r="382" spans="1:8">
      <c r="A382" s="3453" t="s">
        <v>2763</v>
      </c>
      <c r="B382" s="3433" t="s">
        <v>3027</v>
      </c>
      <c r="C382" s="3433">
        <v>1310</v>
      </c>
      <c r="D382" s="3433">
        <v>1280</v>
      </c>
      <c r="E382" s="3433">
        <v>1250</v>
      </c>
      <c r="F382" s="3433">
        <v>440</v>
      </c>
      <c r="G382" s="3445">
        <v>800</v>
      </c>
      <c r="H382" s="3446"/>
    </row>
    <row r="383" spans="1:8">
      <c r="A383" s="3453" t="s">
        <v>2763</v>
      </c>
      <c r="B383" s="3433" t="s">
        <v>3028</v>
      </c>
      <c r="C383" s="3433">
        <v>1260</v>
      </c>
      <c r="D383" s="3433">
        <v>1230</v>
      </c>
      <c r="E383" s="3433">
        <v>1200</v>
      </c>
      <c r="F383" s="3433">
        <v>420</v>
      </c>
      <c r="G383" s="3445">
        <v>770</v>
      </c>
      <c r="H383" s="3446"/>
    </row>
    <row r="384" spans="1:8" ht="14.25" thickBot="1">
      <c r="A384" s="3454" t="s">
        <v>2763</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19" t="s">
        <v>3192</v>
      </c>
      <c r="B1" s="3919"/>
      <c r="C1" s="3919"/>
      <c r="D1" s="3919"/>
      <c r="E1" s="3919"/>
      <c r="F1" s="3920"/>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2738</v>
      </c>
      <c r="C4" s="3503" t="s">
        <v>1212</v>
      </c>
      <c r="D4" s="3503" t="s">
        <v>3191</v>
      </c>
      <c r="E4" s="3503" t="s">
        <v>905</v>
      </c>
      <c r="F4" s="3503" t="s">
        <v>3196</v>
      </c>
    </row>
    <row r="5" spans="1:6">
      <c r="A5" s="3504" t="s">
        <v>2761</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2762</v>
      </c>
      <c r="B16" s="3506">
        <v>2230</v>
      </c>
      <c r="C16" s="3506">
        <v>2200</v>
      </c>
      <c r="D16" s="3506">
        <v>2180</v>
      </c>
      <c r="E16" s="3506">
        <v>570</v>
      </c>
      <c r="F16" s="3506">
        <v>1330</v>
      </c>
    </row>
    <row r="17" spans="1:6">
      <c r="A17" s="3504" t="s">
        <v>2763</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1" t="s">
        <v>3030</v>
      </c>
      <c r="B1" s="3921"/>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4" t="s">
        <v>1858</v>
      </c>
      <c r="C1" s="3924"/>
      <c r="D1" s="3924"/>
      <c r="E1" s="3924"/>
      <c r="F1" s="3924"/>
      <c r="G1" s="3923" t="s">
        <v>1859</v>
      </c>
      <c r="H1" s="3923"/>
      <c r="I1" s="3923"/>
      <c r="J1" s="3923"/>
      <c r="K1" s="3923"/>
      <c r="L1" s="3923"/>
      <c r="N1" s="3923" t="s">
        <v>1860</v>
      </c>
      <c r="O1" s="3923"/>
      <c r="P1" s="3923"/>
      <c r="Q1" s="3923"/>
      <c r="S1" s="3923" t="s">
        <v>1861</v>
      </c>
      <c r="T1" s="3923"/>
      <c r="U1" s="3923"/>
      <c r="V1" s="3923"/>
      <c r="X1" s="3922" t="s">
        <v>1921</v>
      </c>
      <c r="Y1" s="3923"/>
      <c r="Z1" s="3923"/>
      <c r="AA1" s="3923"/>
      <c r="AB1" s="3923"/>
      <c r="AD1" s="3922" t="s">
        <v>1925</v>
      </c>
      <c r="AE1" s="3923"/>
      <c r="AF1" s="3923"/>
      <c r="AG1" s="3923"/>
      <c r="AH1" s="3923"/>
    </row>
    <row r="2" spans="1:34" s="2618" customFormat="1" ht="14.25" thickBot="1">
      <c r="B2" s="2619" t="s">
        <v>1862</v>
      </c>
      <c r="C2" s="2619" t="s">
        <v>1923</v>
      </c>
      <c r="D2" s="2620" t="s">
        <v>1179</v>
      </c>
      <c r="E2" s="2620" t="s">
        <v>1469</v>
      </c>
      <c r="F2" s="2619" t="s">
        <v>1924</v>
      </c>
      <c r="G2" s="2621"/>
      <c r="I2" s="2619" t="s">
        <v>2213</v>
      </c>
      <c r="J2" s="2620" t="s">
        <v>2215</v>
      </c>
      <c r="K2" s="2620" t="s">
        <v>2216</v>
      </c>
      <c r="L2" s="2619" t="s">
        <v>2217</v>
      </c>
      <c r="N2" s="2619" t="s">
        <v>1862</v>
      </c>
      <c r="O2" s="2620" t="s">
        <v>2214</v>
      </c>
      <c r="P2" s="2620" t="s">
        <v>1469</v>
      </c>
      <c r="Q2" s="2619" t="s">
        <v>1924</v>
      </c>
      <c r="S2" s="2619" t="s">
        <v>1862</v>
      </c>
      <c r="T2" s="2620" t="s">
        <v>2214</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2224</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2249</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2247</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2245</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2244</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2242</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2241</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2240</v>
      </c>
      <c r="B22" s="2652">
        <f t="shared" si="11"/>
        <v>464.37293017158942</v>
      </c>
      <c r="C22" s="2652">
        <f t="shared" si="12"/>
        <v>344.73679941385956</v>
      </c>
      <c r="D22" s="2652">
        <f t="shared" si="2"/>
        <v>344.73679941385956</v>
      </c>
      <c r="E22" s="2652">
        <f t="shared" si="3"/>
        <v>663.2377795103107</v>
      </c>
      <c r="F22" s="2653">
        <f t="shared" si="4"/>
        <v>304.75936311478398</v>
      </c>
      <c r="G22" s="392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2233</v>
      </c>
      <c r="B23" s="2642">
        <f t="shared" si="11"/>
        <v>459.95733971036987</v>
      </c>
      <c r="C23" s="2642">
        <f t="shared" si="12"/>
        <v>341.22221064422405</v>
      </c>
      <c r="D23" s="2642">
        <f t="shared" si="2"/>
        <v>341.22221064422405</v>
      </c>
      <c r="E23" s="2642">
        <f t="shared" si="3"/>
        <v>657.19161663724799</v>
      </c>
      <c r="F23" s="2642">
        <f t="shared" si="4"/>
        <v>300.87803644464805</v>
      </c>
      <c r="G23" s="392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2234</v>
      </c>
      <c r="B24" s="2642">
        <f t="shared" si="11"/>
        <v>453.11529869999993</v>
      </c>
      <c r="C24" s="2642">
        <f t="shared" si="12"/>
        <v>336.47787264000004</v>
      </c>
      <c r="D24" s="2642">
        <f t="shared" si="2"/>
        <v>336.47787264000004</v>
      </c>
      <c r="E24" s="2642">
        <f t="shared" si="3"/>
        <v>647.35186823999993</v>
      </c>
      <c r="F24" s="2642">
        <f t="shared" si="4"/>
        <v>295.73229452000004</v>
      </c>
      <c r="G24" s="392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2230</v>
      </c>
      <c r="B25" s="2642">
        <f t="shared" si="11"/>
        <v>446.46299999999997</v>
      </c>
      <c r="C25" s="2642">
        <f t="shared" si="12"/>
        <v>333.27840000000003</v>
      </c>
      <c r="D25" s="2642">
        <f t="shared" ref="D25:D30" si="13">C25</f>
        <v>333.27840000000003</v>
      </c>
      <c r="E25" s="2642">
        <f t="shared" si="3"/>
        <v>637.28279999999995</v>
      </c>
      <c r="F25" s="2642">
        <f t="shared" si="4"/>
        <v>288.68830000000003</v>
      </c>
      <c r="G25" s="393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2223</v>
      </c>
      <c r="B26" s="2658">
        <v>439</v>
      </c>
      <c r="C26" s="2658">
        <v>327</v>
      </c>
      <c r="D26" s="2658">
        <f t="shared" si="13"/>
        <v>327</v>
      </c>
      <c r="E26" s="2658">
        <v>627</v>
      </c>
      <c r="F26" s="2659">
        <v>283</v>
      </c>
      <c r="G26" s="393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2225</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2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2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2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7">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400">
        <f>基准地价!G23</f>
        <v>44929</v>
      </c>
      <c r="B1" s="3348" t="s">
        <v>2793</v>
      </c>
      <c r="C1" s="3349"/>
      <c r="D1" s="3349"/>
      <c r="E1" s="3349"/>
      <c r="F1" s="3349"/>
      <c r="G1" s="3349"/>
      <c r="H1" s="3349"/>
      <c r="I1" s="3349"/>
      <c r="J1" s="3350"/>
      <c r="K1" s="3349" t="s">
        <v>2794</v>
      </c>
      <c r="L1" s="3349"/>
      <c r="M1" s="3349"/>
      <c r="N1" s="3349"/>
      <c r="O1" s="3349"/>
      <c r="P1" s="3349"/>
      <c r="Q1" s="3350"/>
      <c r="R1" s="3933" t="s">
        <v>2803</v>
      </c>
      <c r="S1" s="3934"/>
      <c r="T1" s="3934"/>
      <c r="U1" s="3934"/>
      <c r="V1" s="3934"/>
      <c r="W1" s="3934"/>
      <c r="X1" s="3350"/>
      <c r="Y1" s="3933" t="s">
        <v>2814</v>
      </c>
      <c r="Z1" s="3934"/>
      <c r="AA1" s="3934"/>
      <c r="AB1" s="3934"/>
      <c r="AC1" s="3934"/>
      <c r="AD1" s="3934"/>
    </row>
    <row r="2" spans="1:30" ht="14.25" thickBot="1">
      <c r="A2" s="3341"/>
      <c r="B2" s="3351"/>
      <c r="C2" s="3352"/>
      <c r="D2" s="3353" t="s">
        <v>2796</v>
      </c>
      <c r="E2" s="3354" t="s">
        <v>2797</v>
      </c>
      <c r="F2" s="3354" t="s">
        <v>2798</v>
      </c>
      <c r="G2" s="3354" t="s">
        <v>2799</v>
      </c>
      <c r="H2" s="3354" t="s">
        <v>2800</v>
      </c>
      <c r="I2" s="3354" t="s">
        <v>2737</v>
      </c>
      <c r="J2" s="3355"/>
      <c r="K2" s="3353" t="s">
        <v>2796</v>
      </c>
      <c r="L2" s="3354" t="s">
        <v>2797</v>
      </c>
      <c r="M2" s="3354" t="s">
        <v>2798</v>
      </c>
      <c r="N2" s="3354" t="s">
        <v>2799</v>
      </c>
      <c r="O2" s="3354" t="s">
        <v>2800</v>
      </c>
      <c r="P2" s="3354" t="s">
        <v>2737</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2454</v>
      </c>
    </row>
    <row r="3" spans="1:30">
      <c r="A3" s="3342" t="s">
        <v>2780</v>
      </c>
      <c r="B3" s="3356"/>
      <c r="C3" s="3357"/>
      <c r="D3" s="3357">
        <f>ROUND(AVERAGEIF(D4:D13,"&lt;&gt;0"),2)</f>
        <v>0.84</v>
      </c>
      <c r="E3" s="3357">
        <f>ROUND(AVERAGEIF(E4:E13,"&lt;&gt;0"),2)</f>
        <v>0.35</v>
      </c>
      <c r="F3" s="3357">
        <f>ROUND(AVERAGEIF(F4:F13,"&lt;&gt;0"),2)</f>
        <v>0.15</v>
      </c>
      <c r="G3" s="3357">
        <f>ROUND(AVERAGEIF(G4:G13,"&lt;&gt;0"),2)</f>
        <v>0.92</v>
      </c>
      <c r="H3" s="3357">
        <f>ROUND(AVERAGEIF(H4:H13,"&lt;&gt;0"),2)</f>
        <v>0.68</v>
      </c>
      <c r="I3" s="3357">
        <f>F3</f>
        <v>0.15</v>
      </c>
      <c r="J3" s="3358"/>
      <c r="K3" s="3359">
        <f>ROUND(AVERAGEIF(K4:K13,"&lt;&gt;0"),4)</f>
        <v>8.3999999999999995E-3</v>
      </c>
      <c r="L3" s="3360">
        <f>ROUND(AVERAGEIF(L4:L13,"&lt;&gt;0"),4)</f>
        <v>3.5000000000000001E-3</v>
      </c>
      <c r="M3" s="3360">
        <f>ROUND(AVERAGEIF(M4:M13,"&lt;&gt;0"),4)</f>
        <v>1.5E-3</v>
      </c>
      <c r="N3" s="3360">
        <f>ROUND(AVERAGEIF(N4:N13,"&lt;&gt;0"),4)</f>
        <v>9.1999999999999998E-3</v>
      </c>
      <c r="O3" s="3360">
        <f>ROUND(AVERAGEIF(O4:O13,"&lt;&gt;0"),4)</f>
        <v>6.7999999999999996E-3</v>
      </c>
      <c r="P3" s="3360">
        <f>M3</f>
        <v>1.5E-3</v>
      </c>
      <c r="Q3" s="3358"/>
      <c r="R3" s="3375">
        <f>ROUND(SUMPRODUCT(PRODUCT(1+K4:K13)),4)</f>
        <v>1.0602</v>
      </c>
      <c r="S3" s="3376">
        <f>ROUND(SUMPRODUCT(PRODUCT(1+L4:L13)),4)</f>
        <v>1.0246</v>
      </c>
      <c r="T3" s="3376">
        <f>ROUND(SUMPRODUCT(PRODUCT(1+M4:M13)),4)</f>
        <v>1.0107999999999999</v>
      </c>
      <c r="U3" s="3376">
        <f>ROUND(SUMPRODUCT(PRODUCT(1+N4:N13)),4)</f>
        <v>1.0662</v>
      </c>
      <c r="V3" s="3376">
        <f>ROUND(SUMPRODUCT(PRODUCT(1+O4:O13)),4)</f>
        <v>1.0485</v>
      </c>
      <c r="W3" s="3375">
        <f>T3</f>
        <v>1.0107999999999999</v>
      </c>
      <c r="X3" s="3358"/>
      <c r="Y3" s="3383">
        <f>ROUND(AVERAGEIF(Y5:Y13,"&lt;&gt;0"),4)</f>
        <v>8.8000000000000005E-3</v>
      </c>
      <c r="Z3" s="3384">
        <f>ROUND(AVERAGEIF(Z5:Z13,"&lt;&gt;0"),4)</f>
        <v>3.5999999999999999E-3</v>
      </c>
      <c r="AA3" s="3385">
        <f>ROUND(AVERAGEIF(AA5:AA13,"&lt;&gt;0"),4)</f>
        <v>8.0000000000000004E-4</v>
      </c>
      <c r="AB3" s="3383">
        <f>ROUND(AVERAGEIF(AB5:AB13,"&lt;&gt;0"),4)</f>
        <v>9.5999999999999992E-3</v>
      </c>
      <c r="AC3" s="3386">
        <f>ROUND(AVERAGEIF(AC5:AC13,"&lt;&gt;0"),4)</f>
        <v>6.1000000000000004E-3</v>
      </c>
      <c r="AD3" s="3383">
        <f>AA3</f>
        <v>8.0000000000000004E-4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2781</v>
      </c>
      <c r="B5" s="3403">
        <v>2023</v>
      </c>
      <c r="C5" s="3404">
        <v>1</v>
      </c>
      <c r="D5" s="3404">
        <v>0</v>
      </c>
      <c r="E5" s="3404">
        <v>0</v>
      </c>
      <c r="F5" s="3404">
        <v>0</v>
      </c>
      <c r="G5" s="3404">
        <v>0</v>
      </c>
      <c r="H5" s="3404">
        <v>0</v>
      </c>
      <c r="I5" s="3405">
        <f t="shared" ref="I5:I13" si="0">F5</f>
        <v>0</v>
      </c>
      <c r="J5" s="3365"/>
      <c r="K5" s="3366">
        <f t="shared" ref="K5:O13" si="1">D5/100</f>
        <v>0</v>
      </c>
      <c r="L5" s="3367">
        <f t="shared" si="1"/>
        <v>0</v>
      </c>
      <c r="M5" s="3367">
        <f t="shared" si="1"/>
        <v>0</v>
      </c>
      <c r="N5" s="3367">
        <f t="shared" si="1"/>
        <v>0</v>
      </c>
      <c r="O5" s="3367">
        <f t="shared" si="1"/>
        <v>0</v>
      </c>
      <c r="P5" s="3367">
        <f>M5</f>
        <v>0</v>
      </c>
      <c r="Q5" s="3365"/>
      <c r="R5" s="3381">
        <f>ROUND(IF(项目基本情况!B8="出让",SUMPRODUCT(PRODUCT(1+K5:K13)),SUMPRODUCT(PRODUCT(1+K5:K12))),4)</f>
        <v>1.05</v>
      </c>
      <c r="S5" s="3381">
        <f>ROUND(IF(项目基本情况!B8="出让",SUMPRODUCT(PRODUCT(1+L5:L13)),SUMPRODUCT(PRODUCT(1+L5:L12))),4)</f>
        <v>1.0229999999999999</v>
      </c>
      <c r="T5" s="3381">
        <f>ROUND(IF(项目基本情况!B8="出让",SUMPRODUCT(PRODUCT(1+M5:M13)),SUMPRODUCT(PRODUCT(1+M5:M12))),4)</f>
        <v>1.0134000000000001</v>
      </c>
      <c r="U5" s="3381">
        <f>ROUND(IF(项目基本情况!B8="出让",SUMPRODUCT(PRODUCT(1+N5:N13)),SUMPRODUCT(PRODUCT(1+N5:N12))),4)</f>
        <v>1.0545</v>
      </c>
      <c r="V5" s="3381">
        <f>ROUND(IF(项目基本情况!B8="出让",SUMPRODUCT(PRODUCT(1+O5:O13)),SUMPRODUCT(PRODUCT(1+O5:O12))),4)</f>
        <v>1.0447</v>
      </c>
      <c r="W5" s="3381">
        <f>T5</f>
        <v>1.0134000000000001</v>
      </c>
      <c r="X5" s="3365"/>
      <c r="Y5" s="3390">
        <f>IF(D5=0,0,ROUND(AVERAGE(D5:D13)/100,4))</f>
        <v>0</v>
      </c>
      <c r="Z5" s="3390">
        <f>IF(E5=0,0,ROUND(AVERAGE(E5:E13)/100,4))</f>
        <v>0</v>
      </c>
      <c r="AA5" s="3390">
        <f>IF(F5=0,0,ROUND(AVERAGE(F5:F13)/100,4))</f>
        <v>0</v>
      </c>
      <c r="AB5" s="3390">
        <f>IF(G5=0,0,ROUND(AVERAGE(G5:G13)/100,4))</f>
        <v>0</v>
      </c>
      <c r="AC5" s="3390">
        <f>IF(H5=0,0,ROUND(AVERAGE(H5:H13)/100,4))</f>
        <v>0</v>
      </c>
      <c r="AD5" s="3390">
        <f t="shared" ref="AD5:AD12" si="2">AA5</f>
        <v>0</v>
      </c>
    </row>
    <row r="6" spans="1:30">
      <c r="A6" s="3344" t="s">
        <v>2782</v>
      </c>
      <c r="B6" s="3403">
        <v>2022</v>
      </c>
      <c r="C6" s="3404">
        <v>4</v>
      </c>
      <c r="D6" s="3404">
        <v>0</v>
      </c>
      <c r="E6" s="3404">
        <v>0</v>
      </c>
      <c r="F6" s="3404">
        <v>0</v>
      </c>
      <c r="G6" s="3404">
        <v>0</v>
      </c>
      <c r="H6" s="3404">
        <v>0</v>
      </c>
      <c r="I6" s="3405">
        <f t="shared" si="0"/>
        <v>0</v>
      </c>
      <c r="J6" s="3365"/>
      <c r="K6" s="3366">
        <f t="shared" si="1"/>
        <v>0</v>
      </c>
      <c r="L6" s="3367">
        <f t="shared" si="1"/>
        <v>0</v>
      </c>
      <c r="M6" s="3367">
        <f t="shared" si="1"/>
        <v>0</v>
      </c>
      <c r="N6" s="3367">
        <f t="shared" si="1"/>
        <v>0</v>
      </c>
      <c r="O6" s="3367">
        <f t="shared" si="1"/>
        <v>0</v>
      </c>
      <c r="P6" s="3367">
        <f t="shared" ref="P6:P13" si="3">M6</f>
        <v>0</v>
      </c>
      <c r="Q6" s="3365"/>
      <c r="R6" s="3381">
        <f>ROUND(IF(项目基本情况!B8="出让",SUMPRODUCT(PRODUCT(1+K6:K13)),SUMPRODUCT(PRODUCT(1+K6:K12))),4)</f>
        <v>1.05</v>
      </c>
      <c r="S6" s="3381">
        <f>ROUND(IF(项目基本情况!B8="出让",SUMPRODUCT(PRODUCT(1+L6:L13)),SUMPRODUCT(PRODUCT(1+L6:L12))),4)</f>
        <v>1.0229999999999999</v>
      </c>
      <c r="T6" s="3381">
        <f>ROUND(IF(项目基本情况!B8="出让",SUMPRODUCT(PRODUCT(1+M6:M13)),SUMPRODUCT(PRODUCT(1+M6:M12))),4)</f>
        <v>1.0134000000000001</v>
      </c>
      <c r="U6" s="3381">
        <f>ROUND(IF(项目基本情况!B8="出让",SUMPRODUCT(PRODUCT(1+N6:N13)),SUMPRODUCT(PRODUCT(1+N6:N12))),4)</f>
        <v>1.0545</v>
      </c>
      <c r="V6" s="3381">
        <f>ROUND(IF(项目基本情况!B8="出让",SUMPRODUCT(PRODUCT(1+O6:O13)),SUMPRODUCT(PRODUCT(1+O6:O12))),4)</f>
        <v>1.0447</v>
      </c>
      <c r="W6" s="3381">
        <f t="shared" ref="W6:W13" si="4">T6</f>
        <v>1.0134000000000001</v>
      </c>
      <c r="X6" s="3365"/>
      <c r="Y6" s="3390">
        <f>IF(D6=0,0,ROUND(AVERAGE(D6:D14)/100,4))</f>
        <v>0</v>
      </c>
      <c r="Z6" s="3390">
        <f>IF(E6=0,0,ROUND(AVERAGE(E6:E13)/100,4))</f>
        <v>0</v>
      </c>
      <c r="AA6" s="3390">
        <f>IF(F6=0,0,ROUND(AVERAGE(F6:F13)/100,4))</f>
        <v>0</v>
      </c>
      <c r="AB6" s="3390">
        <f>IF(G6=0,0,ROUND(AVERAGE(G6:G13)/100,4))</f>
        <v>0</v>
      </c>
      <c r="AC6" s="3390">
        <f>IF(H6=0,0,ROUND(AVERAGE(H6:H13)/100,4))</f>
        <v>0</v>
      </c>
      <c r="AD6" s="3390">
        <f t="shared" si="2"/>
        <v>0</v>
      </c>
    </row>
    <row r="7" spans="1:30">
      <c r="A7" s="3345" t="s">
        <v>3251</v>
      </c>
      <c r="B7" s="3406">
        <v>2022</v>
      </c>
      <c r="C7" s="3407">
        <v>3</v>
      </c>
      <c r="D7" s="3407">
        <v>0.66</v>
      </c>
      <c r="E7" s="3407">
        <v>0.32</v>
      </c>
      <c r="F7" s="3407">
        <v>0.23</v>
      </c>
      <c r="G7" s="3407">
        <v>0.72</v>
      </c>
      <c r="H7" s="3408">
        <v>0.63</v>
      </c>
      <c r="I7" s="3409">
        <f t="shared" si="0"/>
        <v>0.23</v>
      </c>
      <c r="J7" s="3368"/>
      <c r="K7" s="3369">
        <f t="shared" si="1"/>
        <v>6.6E-3</v>
      </c>
      <c r="L7" s="3370">
        <f t="shared" si="1"/>
        <v>3.2000000000000002E-3</v>
      </c>
      <c r="M7" s="3370">
        <f t="shared" si="1"/>
        <v>2.3E-3</v>
      </c>
      <c r="N7" s="3370">
        <f t="shared" si="1"/>
        <v>7.1999999999999998E-3</v>
      </c>
      <c r="O7" s="3370">
        <f t="shared" si="1"/>
        <v>6.3E-3</v>
      </c>
      <c r="P7" s="3370">
        <f t="shared" si="3"/>
        <v>2.3E-3</v>
      </c>
      <c r="Q7" s="3368"/>
      <c r="R7" s="3368">
        <f>ROUND(IF(项目基本情况!B8="出让",SUMPRODUCT(PRODUCT(1+K7:K13)),SUMPRODUCT(PRODUCT(1+K7:K12))),4)</f>
        <v>1.05</v>
      </c>
      <c r="S7" s="3368">
        <f>ROUND(IF(项目基本情况!B8="出让",SUMPRODUCT(PRODUCT(1+L7:L13)),SUMPRODUCT(PRODUCT(1+L7:L12))),4)</f>
        <v>1.0229999999999999</v>
      </c>
      <c r="T7" s="3368">
        <f>ROUND(IF(项目基本情况!B8="出让",SUMPRODUCT(PRODUCT(1+M7:M13)),SUMPRODUCT(PRODUCT(1+M7:M12))),4)</f>
        <v>1.0134000000000001</v>
      </c>
      <c r="U7" s="3368">
        <f>ROUND(IF(项目基本情况!B8="出让",SUMPRODUCT(PRODUCT(1+N7:N13)),SUMPRODUCT(PRODUCT(1+N7:N12))),4)</f>
        <v>1.0545</v>
      </c>
      <c r="V7" s="3368">
        <f>ROUND(IF(项目基本情况!B8="出让",SUMPRODUCT(PRODUCT(1+O7:O13)),SUMPRODUCT(PRODUCT(1+O7:O12))),4)</f>
        <v>1.0447</v>
      </c>
      <c r="W7" s="3368">
        <f t="shared" si="4"/>
        <v>1.0134000000000001</v>
      </c>
      <c r="X7" s="3368"/>
      <c r="Y7" s="3370">
        <f>IF(D7=0,0,ROUND(AVERAGE(D7:D13)/100,4))</f>
        <v>8.3999999999999995E-3</v>
      </c>
      <c r="Z7" s="3370">
        <f>IF(E7=0,0,ROUND(AVERAGE(E7:E13)/100,4))</f>
        <v>3.5000000000000001E-3</v>
      </c>
      <c r="AA7" s="3370">
        <f>IF(F7=0,0,ROUND(AVERAGE(F7:F13)/100,4))</f>
        <v>1.5E-3</v>
      </c>
      <c r="AB7" s="3370">
        <f>IF(G7=0,0,ROUND(AVERAGE(G7:G13)/100,4))</f>
        <v>9.1999999999999998E-3</v>
      </c>
      <c r="AC7" s="3370">
        <f>IF(H7=0,0,ROUND(AVERAGE(H7:H13)/100,4))</f>
        <v>6.7999999999999996E-3</v>
      </c>
      <c r="AD7" s="3370">
        <f t="shared" si="2"/>
        <v>1.5E-3</v>
      </c>
    </row>
    <row r="8" spans="1:30">
      <c r="A8" s="3344" t="s">
        <v>3252</v>
      </c>
      <c r="B8" s="3403">
        <v>2022</v>
      </c>
      <c r="C8" s="3404">
        <v>2</v>
      </c>
      <c r="D8" s="3404">
        <v>0.93</v>
      </c>
      <c r="E8" s="3404">
        <v>0.15</v>
      </c>
      <c r="F8" s="3404">
        <v>0.01</v>
      </c>
      <c r="G8" s="3404">
        <v>1.05</v>
      </c>
      <c r="H8" s="3410">
        <v>1.08</v>
      </c>
      <c r="I8" s="3405">
        <f t="shared" si="0"/>
        <v>0.01</v>
      </c>
      <c r="J8" s="3365"/>
      <c r="K8" s="3366">
        <f t="shared" si="1"/>
        <v>9.300000000000001E-3</v>
      </c>
      <c r="L8" s="3367">
        <f t="shared" si="1"/>
        <v>1.5E-3</v>
      </c>
      <c r="M8" s="3367">
        <f t="shared" si="1"/>
        <v>1E-4</v>
      </c>
      <c r="N8" s="3367">
        <f t="shared" si="1"/>
        <v>1.0500000000000001E-2</v>
      </c>
      <c r="O8" s="3367">
        <f t="shared" si="1"/>
        <v>1.0800000000000001E-2</v>
      </c>
      <c r="P8" s="3367">
        <f t="shared" si="3"/>
        <v>1E-4</v>
      </c>
      <c r="Q8" s="3365"/>
      <c r="R8" s="3381">
        <f>ROUND(IF(项目基本情况!B8="出让",SUMPRODUCT(PRODUCT(1+K8:K13)),SUMPRODUCT(PRODUCT(1+K8:K12))),4)</f>
        <v>1.0430999999999999</v>
      </c>
      <c r="S8" s="3381">
        <f>ROUND(IF(项目基本情况!B8="出让",SUMPRODUCT(PRODUCT(1+L8:L13)),SUMPRODUCT(PRODUCT(1+L8:L12))),4)</f>
        <v>1.0197000000000001</v>
      </c>
      <c r="T8" s="3381">
        <f>ROUND(IF(项目基本情况!B8="出让",SUMPRODUCT(PRODUCT(1+M8:M13)),SUMPRODUCT(PRODUCT(1+M8:M12))),4)</f>
        <v>1.0109999999999999</v>
      </c>
      <c r="U8" s="3381">
        <f>ROUND(IF(项目基本情况!B8="出让",SUMPRODUCT(PRODUCT(1+N8:N13)),SUMPRODUCT(PRODUCT(1+N8:N12))),4)</f>
        <v>1.0468999999999999</v>
      </c>
      <c r="V8" s="3381">
        <f>ROUND(IF(项目基本情况!B8="出让",SUMPRODUCT(PRODUCT(1+O8:O13)),SUMPRODUCT(PRODUCT(1+O8:O12))),4)</f>
        <v>1.0382</v>
      </c>
      <c r="W8" s="3381">
        <f t="shared" si="4"/>
        <v>1.0109999999999999</v>
      </c>
      <c r="X8" s="3365"/>
      <c r="Y8" s="3390">
        <f>IF(D8=0,0,ROUND(AVERAGE(D8:D13)/100,4))</f>
        <v>8.6999999999999994E-3</v>
      </c>
      <c r="Z8" s="3390">
        <f>IF(E8=0,0,ROUND(AVERAGE(E8:E13)/100,4))</f>
        <v>3.5000000000000001E-3</v>
      </c>
      <c r="AA8" s="3390">
        <f>IF(F8=0,0,ROUND(AVERAGE(F8:F13)/100,4))</f>
        <v>1.4E-3</v>
      </c>
      <c r="AB8" s="3390">
        <f>IF(G8=0,0,ROUND(AVERAGE(G8:G13)/100,4))</f>
        <v>9.4999999999999998E-3</v>
      </c>
      <c r="AC8" s="3390">
        <f>IF(H8=0,0,ROUND(AVERAGE(H8:H13)/100,4))</f>
        <v>6.8999999999999999E-3</v>
      </c>
      <c r="AD8" s="3390">
        <f t="shared" si="2"/>
        <v>1.4E-3</v>
      </c>
    </row>
    <row r="9" spans="1:30">
      <c r="A9" s="3344" t="s">
        <v>2783</v>
      </c>
      <c r="B9" s="3403">
        <v>2022</v>
      </c>
      <c r="C9" s="3404">
        <v>1</v>
      </c>
      <c r="D9" s="3404">
        <v>0.89</v>
      </c>
      <c r="E9" s="3404">
        <v>0.44</v>
      </c>
      <c r="F9" s="3404">
        <v>0.37</v>
      </c>
      <c r="G9" s="3404">
        <v>0.96</v>
      </c>
      <c r="H9" s="3410">
        <v>0.64</v>
      </c>
      <c r="I9" s="3405">
        <f t="shared" si="0"/>
        <v>0.37</v>
      </c>
      <c r="J9" s="3365"/>
      <c r="K9" s="3366">
        <f t="shared" si="1"/>
        <v>8.8999999999999999E-3</v>
      </c>
      <c r="L9" s="3367">
        <f t="shared" si="1"/>
        <v>4.4000000000000003E-3</v>
      </c>
      <c r="M9" s="3367">
        <f t="shared" si="1"/>
        <v>3.7000000000000002E-3</v>
      </c>
      <c r="N9" s="3367">
        <f t="shared" si="1"/>
        <v>9.5999999999999992E-3</v>
      </c>
      <c r="O9" s="3367">
        <f t="shared" si="1"/>
        <v>6.4000000000000003E-3</v>
      </c>
      <c r="P9" s="3367">
        <f t="shared" si="3"/>
        <v>3.7000000000000002E-3</v>
      </c>
      <c r="Q9" s="3365"/>
      <c r="R9" s="3381">
        <f>ROUND(IF(项目基本情况!B8="出让",SUMPRODUCT(PRODUCT(1+K9:K13)),SUMPRODUCT(PRODUCT(1+K9:K12))),4)</f>
        <v>1.0335000000000001</v>
      </c>
      <c r="S9" s="3381">
        <f>ROUND(IF(项目基本情况!B8="出让",SUMPRODUCT(PRODUCT(1+L9:L13)),SUMPRODUCT(PRODUCT(1+L9:L12))),4)</f>
        <v>1.0182</v>
      </c>
      <c r="T9" s="3381">
        <f>ROUND(IF(项目基本情况!B8="出让",SUMPRODUCT(PRODUCT(1+M9:M13)),SUMPRODUCT(PRODUCT(1+M9:M12))),4)</f>
        <v>1.0108999999999999</v>
      </c>
      <c r="U9" s="3381">
        <f>ROUND(IF(项目基本情况!B8="出让",SUMPRODUCT(PRODUCT(1+N9:N13)),SUMPRODUCT(PRODUCT(1+N9:N12))),4)</f>
        <v>1.0361</v>
      </c>
      <c r="V9" s="3381">
        <f>ROUND(IF(项目基本情况!B8="出让",SUMPRODUCT(PRODUCT(1+O9:O13)),SUMPRODUCT(PRODUCT(1+O9:O12))),4)</f>
        <v>1.0270999999999999</v>
      </c>
      <c r="W9" s="3381">
        <f t="shared" si="4"/>
        <v>1.0108999999999999</v>
      </c>
      <c r="X9" s="3365"/>
      <c r="Y9" s="3390">
        <f>IF(D9=0,0,ROUND(AVERAGE(D9:D13)/100,4))</f>
        <v>8.6E-3</v>
      </c>
      <c r="Z9" s="3390">
        <f>IF(E9=0,0,ROUND(AVERAGE(E9:E13)/100,4))</f>
        <v>3.8999999999999998E-3</v>
      </c>
      <c r="AA9" s="3390">
        <f>IF(F9=0,0,ROUND(AVERAGE(F9:F13)/100,4))</f>
        <v>1.6999999999999999E-3</v>
      </c>
      <c r="AB9" s="3390">
        <f>IF(G9=0,0,ROUND(AVERAGE(G9:G13)/100,4))</f>
        <v>9.2999999999999992E-3</v>
      </c>
      <c r="AC9" s="3390">
        <f>IF(H9=0,0,ROUND(AVERAGE(H9:H13)/100,4))</f>
        <v>6.1000000000000004E-3</v>
      </c>
      <c r="AD9" s="3390">
        <f t="shared" si="2"/>
        <v>1.6999999999999999E-3</v>
      </c>
    </row>
    <row r="10" spans="1:30">
      <c r="A10" s="3344" t="s">
        <v>2784</v>
      </c>
      <c r="B10" s="3403">
        <v>2021</v>
      </c>
      <c r="C10" s="3404">
        <v>4</v>
      </c>
      <c r="D10" s="3404">
        <v>1.03</v>
      </c>
      <c r="E10" s="3404">
        <v>0.24</v>
      </c>
      <c r="F10" s="3404">
        <v>7.0000000000000007E-2</v>
      </c>
      <c r="G10" s="3404">
        <v>1.17</v>
      </c>
      <c r="H10" s="3410">
        <v>0.55000000000000004</v>
      </c>
      <c r="I10" s="3405">
        <f t="shared" si="0"/>
        <v>7.0000000000000007E-2</v>
      </c>
      <c r="J10" s="3365"/>
      <c r="K10" s="3366">
        <f t="shared" si="1"/>
        <v>1.03E-2</v>
      </c>
      <c r="L10" s="3367">
        <f t="shared" si="1"/>
        <v>2.3999999999999998E-3</v>
      </c>
      <c r="M10" s="3367">
        <f t="shared" si="1"/>
        <v>7.000000000000001E-4</v>
      </c>
      <c r="N10" s="3367">
        <f t="shared" si="1"/>
        <v>1.1699999999999999E-2</v>
      </c>
      <c r="O10" s="3367">
        <f t="shared" si="1"/>
        <v>5.5000000000000005E-3</v>
      </c>
      <c r="P10" s="3367">
        <f t="shared" si="3"/>
        <v>7.000000000000001E-4</v>
      </c>
      <c r="Q10" s="3365"/>
      <c r="R10" s="3381">
        <f>ROUND(IF(项目基本情况!B8="出让",SUMPRODUCT(PRODUCT(1+K10:K13)),SUMPRODUCT(PRODUCT(1+K10:K12))),4)</f>
        <v>1.0244</v>
      </c>
      <c r="S10" s="3381">
        <f>ROUND(IF(项目基本情况!B8="出让",SUMPRODUCT(PRODUCT(1+L10:L13)),SUMPRODUCT(PRODUCT(1+L10:L12))),4)</f>
        <v>1.0138</v>
      </c>
      <c r="T10" s="3381">
        <f>ROUND(IF(项目基本情况!B8="出让",SUMPRODUCT(PRODUCT(1+M10:M13)),SUMPRODUCT(PRODUCT(1+M10:M12))),4)</f>
        <v>1.0072000000000001</v>
      </c>
      <c r="U10" s="3381">
        <f>ROUND(IF(项目基本情况!B8="出让",SUMPRODUCT(PRODUCT(1+N10:N13)),SUMPRODUCT(PRODUCT(1+N10:N12))),4)</f>
        <v>1.0262</v>
      </c>
      <c r="V10" s="3381">
        <f>ROUND(IF(项目基本情况!B8="出让",SUMPRODUCT(PRODUCT(1+O10:O13)),SUMPRODUCT(PRODUCT(1+O10:O12))),4)</f>
        <v>1.0205</v>
      </c>
      <c r="W10" s="3381">
        <f t="shared" si="4"/>
        <v>1.0072000000000001</v>
      </c>
      <c r="X10" s="3365"/>
      <c r="Y10" s="3390">
        <f>IF(D10=0,0,ROUND(AVERAGE(D10:D13)/100,4))</f>
        <v>8.5000000000000006E-3</v>
      </c>
      <c r="Z10" s="3390">
        <f>IF(E10=0,0,ROUND(AVERAGE(E10:E13)/100,4))</f>
        <v>3.8E-3</v>
      </c>
      <c r="AA10" s="3390">
        <f>IF(F10=0,0,ROUND(AVERAGE(F10:F13)/100,4))</f>
        <v>1.1999999999999999E-3</v>
      </c>
      <c r="AB10" s="3390">
        <f>IF(G10=0,0,ROUND(AVERAGE(G10:G13)/100,4))</f>
        <v>9.2999999999999992E-3</v>
      </c>
      <c r="AC10" s="3390">
        <f>IF(H10=0,0,ROUND(AVERAGE(H10:H13)/100,4))</f>
        <v>6.0000000000000001E-3</v>
      </c>
      <c r="AD10" s="3390">
        <f t="shared" si="2"/>
        <v>1.1999999999999999E-3</v>
      </c>
    </row>
    <row r="11" spans="1:30">
      <c r="A11" s="3344" t="s">
        <v>2785</v>
      </c>
      <c r="B11" s="3403">
        <v>2021</v>
      </c>
      <c r="C11" s="3404">
        <v>3</v>
      </c>
      <c r="D11" s="3404">
        <v>0.47</v>
      </c>
      <c r="E11" s="3404">
        <v>0.41</v>
      </c>
      <c r="F11" s="3404">
        <v>0.24</v>
      </c>
      <c r="G11" s="3404">
        <v>0.48</v>
      </c>
      <c r="H11" s="3410">
        <v>0.48</v>
      </c>
      <c r="I11" s="3405">
        <f t="shared" si="0"/>
        <v>0.24</v>
      </c>
      <c r="J11" s="3365"/>
      <c r="K11" s="3366">
        <f t="shared" si="1"/>
        <v>4.6999999999999993E-3</v>
      </c>
      <c r="L11" s="3367">
        <f t="shared" si="1"/>
        <v>4.0999999999999995E-3</v>
      </c>
      <c r="M11" s="3367">
        <f t="shared" si="1"/>
        <v>2.3999999999999998E-3</v>
      </c>
      <c r="N11" s="3367">
        <f t="shared" si="1"/>
        <v>4.7999999999999996E-3</v>
      </c>
      <c r="O11" s="3367">
        <f t="shared" si="1"/>
        <v>4.7999999999999996E-3</v>
      </c>
      <c r="P11" s="3367">
        <f t="shared" si="3"/>
        <v>2.3999999999999998E-3</v>
      </c>
      <c r="Q11" s="3365"/>
      <c r="R11" s="3381">
        <f>ROUND(IF(项目基本情况!B8="出让",SUMPRODUCT(PRODUCT(1+K11:K13)),SUMPRODUCT(PRODUCT(1+K11:K12))),4)</f>
        <v>1.0139</v>
      </c>
      <c r="S11" s="3381">
        <f>ROUND(IF(项目基本情况!B8="出让",SUMPRODUCT(PRODUCT(1+L11:L13)),SUMPRODUCT(PRODUCT(1+L11:L12))),4)</f>
        <v>1.0113000000000001</v>
      </c>
      <c r="T11" s="3381">
        <f>ROUND(IF(项目基本情况!B8="出让",SUMPRODUCT(PRODUCT(1+M11:M13)),SUMPRODUCT(PRODUCT(1+M11:M12))),4)</f>
        <v>1.0065</v>
      </c>
      <c r="U11" s="3381">
        <f>ROUND(IF(项目基本情况!B8="出让",SUMPRODUCT(PRODUCT(1+N11:N13)),SUMPRODUCT(PRODUCT(1+N11:N12))),4)</f>
        <v>1.0143</v>
      </c>
      <c r="V11" s="3381">
        <f>ROUND(IF(项目基本情况!B8="出让",SUMPRODUCT(PRODUCT(1+O11:O13)),SUMPRODUCT(PRODUCT(1+O11:O12))),4)</f>
        <v>1.0148999999999999</v>
      </c>
      <c r="W11" s="3381">
        <f t="shared" si="4"/>
        <v>1.0065</v>
      </c>
      <c r="X11" s="3365"/>
      <c r="Y11" s="3390">
        <f>IF(D11=0,0,ROUND(AVERAGE(D11:D13)/100,4))</f>
        <v>7.9000000000000008E-3</v>
      </c>
      <c r="Z11" s="3390">
        <f>IF(E11=0,0,ROUND(AVERAGE(E11:E13)/100,4))</f>
        <v>4.3E-3</v>
      </c>
      <c r="AA11" s="3390">
        <f>IF(F11=0,0,ROUND(AVERAGE(F11:F13)/100,4))</f>
        <v>1.2999999999999999E-3</v>
      </c>
      <c r="AB11" s="3390">
        <f>IF(G11=0,0,ROUND(AVERAGE(G11:G13)/100,4))</f>
        <v>8.5000000000000006E-3</v>
      </c>
      <c r="AC11" s="3390">
        <f>IF(H11=0,0,ROUND(AVERAGE(H11:H13)/100,4))</f>
        <v>6.1999999999999998E-3</v>
      </c>
      <c r="AD11" s="3390">
        <f t="shared" si="2"/>
        <v>1.2999999999999999E-3</v>
      </c>
    </row>
    <row r="12" spans="1:30">
      <c r="A12" s="3344" t="s">
        <v>2786</v>
      </c>
      <c r="B12" s="3403">
        <v>2021</v>
      </c>
      <c r="C12" s="3404">
        <v>2</v>
      </c>
      <c r="D12" s="3404">
        <v>0.92</v>
      </c>
      <c r="E12" s="3404">
        <v>0.72</v>
      </c>
      <c r="F12" s="3404">
        <v>0.41</v>
      </c>
      <c r="G12" s="3404">
        <v>0.95</v>
      </c>
      <c r="H12" s="3410">
        <v>1.01</v>
      </c>
      <c r="I12" s="3405">
        <f t="shared" si="0"/>
        <v>0.41</v>
      </c>
      <c r="J12" s="3365"/>
      <c r="K12" s="3366">
        <f t="shared" si="1"/>
        <v>9.1999999999999998E-3</v>
      </c>
      <c r="L12" s="3367">
        <f t="shared" si="1"/>
        <v>7.1999999999999998E-3</v>
      </c>
      <c r="M12" s="3367">
        <f t="shared" si="1"/>
        <v>4.0999999999999995E-3</v>
      </c>
      <c r="N12" s="3367">
        <f t="shared" si="1"/>
        <v>9.4999999999999998E-3</v>
      </c>
      <c r="O12" s="3367">
        <f t="shared" si="1"/>
        <v>1.01E-2</v>
      </c>
      <c r="P12" s="3367">
        <f t="shared" si="3"/>
        <v>4.0999999999999995E-3</v>
      </c>
      <c r="Q12" s="3365"/>
      <c r="R12" s="3381">
        <f>ROUND(IF(项目基本情况!B8="出让",SUMPRODUCT(PRODUCT(1+K12:K13)),SUMPRODUCT(PRODUCT(1+K12:K12))),4)</f>
        <v>1.0092000000000001</v>
      </c>
      <c r="S12" s="3381">
        <f>ROUND(IF(项目基本情况!B8="出让",SUMPRODUCT(PRODUCT(1+L12:L13)),SUMPRODUCT(PRODUCT(1+L12:L12))),4)</f>
        <v>1.0072000000000001</v>
      </c>
      <c r="T12" s="3381">
        <f>ROUND(IF(项目基本情况!B8="出让",SUMPRODUCT(PRODUCT(1+M12:M13)),SUMPRODUCT(PRODUCT(1+M12:M12))),4)</f>
        <v>1.0041</v>
      </c>
      <c r="U12" s="3381">
        <f>ROUND(IF(项目基本情况!B8="出让",SUMPRODUCT(PRODUCT(1+N12:N13)),SUMPRODUCT(PRODUCT(1+N12:N12))),4)</f>
        <v>1.0095000000000001</v>
      </c>
      <c r="V12" s="3381">
        <f>ROUND(IF(项目基本情况!B8="出让",SUMPRODUCT(PRODUCT(1+O12:O13)),SUMPRODUCT(PRODUCT(1+O12:O12))),4)</f>
        <v>1.0101</v>
      </c>
      <c r="W12" s="3381">
        <f t="shared" si="4"/>
        <v>1.0041</v>
      </c>
      <c r="X12" s="3365"/>
      <c r="Y12" s="3390">
        <f>IF(D12=0,0,ROUND(AVERAGE(D12:D13)/100,4))</f>
        <v>9.4999999999999998E-3</v>
      </c>
      <c r="Z12" s="3390">
        <f>IF(E12=0,0,ROUND(AVERAGE(E12:E13)/100,4))</f>
        <v>4.4000000000000003E-3</v>
      </c>
      <c r="AA12" s="3390">
        <f>IF(F12=0,0,ROUND(AVERAGE(F12:F13)/100,4))</f>
        <v>8.0000000000000004E-4</v>
      </c>
      <c r="AB12" s="3390">
        <f>IF(G12=0,0,ROUND(AVERAGE(G12:G13)/100,4))</f>
        <v>1.03E-2</v>
      </c>
      <c r="AC12" s="3390">
        <f>IF(H12=0,0,ROUND(AVERAGE(H12:H13)/100,4))</f>
        <v>6.8999999999999999E-3</v>
      </c>
      <c r="AD12" s="3390">
        <f t="shared" si="2"/>
        <v>8.0000000000000004E-4</v>
      </c>
    </row>
    <row r="13" spans="1:30" ht="14.25" thickBot="1">
      <c r="A13" s="3346" t="s">
        <v>2787</v>
      </c>
      <c r="B13" s="3411">
        <v>2021</v>
      </c>
      <c r="C13" s="3412">
        <v>1</v>
      </c>
      <c r="D13" s="3412">
        <v>0.97</v>
      </c>
      <c r="E13" s="3412">
        <v>0.16</v>
      </c>
      <c r="F13" s="3412">
        <v>-0.25</v>
      </c>
      <c r="G13" s="3412">
        <v>1.1100000000000001</v>
      </c>
      <c r="H13" s="3413">
        <v>0.36</v>
      </c>
      <c r="I13" s="3414">
        <f t="shared" si="0"/>
        <v>-0.25</v>
      </c>
      <c r="J13" s="3371"/>
      <c r="K13" s="3372">
        <f t="shared" si="1"/>
        <v>9.7000000000000003E-3</v>
      </c>
      <c r="L13" s="3373">
        <f t="shared" si="1"/>
        <v>1.6000000000000001E-3</v>
      </c>
      <c r="M13" s="3373">
        <f>F13/100</f>
        <v>-2.5000000000000001E-3</v>
      </c>
      <c r="N13" s="3373">
        <f t="shared" si="1"/>
        <v>1.11E-2</v>
      </c>
      <c r="O13" s="3373">
        <f t="shared" si="1"/>
        <v>3.5999999999999999E-3</v>
      </c>
      <c r="P13" s="3373">
        <f t="shared" si="3"/>
        <v>-2.5000000000000001E-3</v>
      </c>
      <c r="Q13" s="3371"/>
      <c r="R13" s="3382">
        <v>1</v>
      </c>
      <c r="S13" s="3382">
        <v>1</v>
      </c>
      <c r="T13" s="3382">
        <v>1</v>
      </c>
      <c r="U13" s="3382">
        <v>1</v>
      </c>
      <c r="V13" s="3382">
        <v>1</v>
      </c>
      <c r="W13" s="3382">
        <f t="shared" si="4"/>
        <v>1</v>
      </c>
      <c r="X13" s="3371"/>
      <c r="Y13" s="3373">
        <f>IF(D13=0,0,ROUND(AVERAGE(D13:D13)/100,4))</f>
        <v>9.7000000000000003E-3</v>
      </c>
      <c r="Z13" s="3373">
        <f>IF(E13=0,0,ROUND(AVERAGE(E13:E13)/100,4))</f>
        <v>1.6000000000000001E-3</v>
      </c>
      <c r="AA13" s="3373">
        <f>IF(F13=0,0,ROUND(AVERAGE(F13:F13)/100,4))</f>
        <v>-2.5000000000000001E-3</v>
      </c>
      <c r="AB13" s="3373">
        <f>IF(G13=0,0,ROUND(AVERAGE(G13:G13)/100,4))</f>
        <v>1.11E-2</v>
      </c>
      <c r="AC13" s="3373">
        <f>IF(H13=0,0,ROUND(AVERAGE(H13:H13)/100,4))</f>
        <v>3.5999999999999999E-3</v>
      </c>
      <c r="AD13" s="3373">
        <f>AA13</f>
        <v>-2.5000000000000001E-3</v>
      </c>
    </row>
    <row r="14" spans="1:30" ht="14.25" thickTop="1">
      <c r="A14" s="3281"/>
      <c r="B14" s="3281"/>
      <c r="C14" s="3281"/>
      <c r="D14" s="3281"/>
      <c r="E14" s="3281"/>
      <c r="F14" s="3281"/>
      <c r="G14" s="3281"/>
      <c r="H14" s="3281"/>
      <c r="I14" s="3281"/>
      <c r="J14" s="3281"/>
      <c r="K14" s="3281"/>
      <c r="L14" s="3281"/>
      <c r="M14" s="3281"/>
      <c r="N14" s="3281"/>
      <c r="O14" s="3281"/>
      <c r="P14" s="3281"/>
      <c r="Q14" s="3281"/>
      <c r="R14" s="3281"/>
      <c r="S14" s="3281"/>
      <c r="T14" s="3281"/>
      <c r="U14" s="3281"/>
      <c r="V14" s="3281"/>
      <c r="W14" s="3281"/>
      <c r="X14" s="3281"/>
      <c r="Y14" s="3281"/>
      <c r="Z14" s="3281"/>
      <c r="AA14" s="3281"/>
      <c r="AB14" s="3281"/>
      <c r="AC14" s="3281"/>
      <c r="AD14" s="3281"/>
    </row>
    <row r="15" spans="1:30">
      <c r="A15" s="3281"/>
      <c r="B15" s="3281"/>
      <c r="C15" s="3281"/>
      <c r="D15" s="3281"/>
      <c r="E15" s="3281"/>
      <c r="F15" s="3281"/>
      <c r="G15" s="3281"/>
      <c r="H15" s="3281"/>
      <c r="I15" s="3281"/>
      <c r="J15" s="3281"/>
      <c r="K15" s="3281"/>
      <c r="L15" s="3281"/>
      <c r="M15" s="3281"/>
      <c r="N15" s="3281"/>
      <c r="O15" s="3281"/>
      <c r="P15" s="3281"/>
      <c r="Q15" s="3281"/>
      <c r="R15" s="3281"/>
      <c r="S15" s="3281"/>
      <c r="T15" s="3281"/>
      <c r="U15" s="3281"/>
      <c r="V15" s="3281"/>
      <c r="W15" s="3281"/>
      <c r="X15" s="3281"/>
      <c r="Y15" s="3281"/>
      <c r="Z15" s="3281"/>
      <c r="AA15" s="3281"/>
      <c r="AB15" s="3281"/>
      <c r="AC15" s="3281"/>
      <c r="AD15" s="3281"/>
    </row>
    <row r="16" spans="1:30">
      <c r="A16" s="3281"/>
      <c r="B16" s="3281"/>
      <c r="C16" s="3281"/>
      <c r="D16" s="3281"/>
      <c r="E16" s="3281"/>
      <c r="F16" s="3281"/>
      <c r="G16" s="3281"/>
      <c r="H16" s="3281"/>
      <c r="I16" s="3374" t="s">
        <v>2801</v>
      </c>
      <c r="J16" s="3281"/>
      <c r="K16" s="3281"/>
      <c r="L16" s="3281"/>
      <c r="M16" s="3281"/>
      <c r="N16" s="3281"/>
      <c r="O16" s="3281"/>
      <c r="P16" s="3281"/>
      <c r="Q16" s="3281"/>
      <c r="R16" s="3281"/>
      <c r="S16" s="3281"/>
      <c r="T16" s="3281"/>
      <c r="U16" s="3281"/>
      <c r="V16" s="3281"/>
      <c r="W16" s="3281"/>
      <c r="X16" s="3281"/>
      <c r="Y16" s="3281"/>
      <c r="Z16" s="3281"/>
      <c r="AA16" s="3281"/>
      <c r="AB16" s="3281"/>
      <c r="AC16" s="3281"/>
      <c r="AD16" s="3281"/>
    </row>
    <row r="17" spans="1:30">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347"/>
      <c r="B18" s="3348" t="s">
        <v>2802</v>
      </c>
      <c r="C18" s="3349"/>
      <c r="D18" s="3349"/>
      <c r="E18" s="3349"/>
      <c r="F18" s="3349"/>
      <c r="G18" s="3349"/>
      <c r="H18" s="3349"/>
      <c r="I18" s="3349"/>
      <c r="J18" s="3350"/>
      <c r="K18" s="3349" t="s">
        <v>2794</v>
      </c>
      <c r="L18" s="3349"/>
      <c r="M18" s="3349"/>
      <c r="N18" s="3349"/>
      <c r="O18" s="3349"/>
      <c r="P18" s="3349"/>
      <c r="Q18" s="3350"/>
      <c r="R18" s="3933" t="s">
        <v>2810</v>
      </c>
      <c r="S18" s="3934"/>
      <c r="T18" s="3934"/>
      <c r="U18" s="3934"/>
      <c r="V18" s="3934"/>
      <c r="W18" s="3934"/>
      <c r="X18" s="3350"/>
      <c r="Y18" s="3933" t="s">
        <v>1925</v>
      </c>
      <c r="Z18" s="3934"/>
      <c r="AA18" s="3934"/>
      <c r="AB18" s="3934"/>
      <c r="AC18" s="3934"/>
      <c r="AD18" s="3934"/>
    </row>
    <row r="19" spans="1:30" ht="14.25" thickBot="1">
      <c r="A19" s="3341"/>
      <c r="B19" s="3351"/>
      <c r="C19" s="3352"/>
      <c r="D19" s="3353" t="s">
        <v>2796</v>
      </c>
      <c r="E19" s="3354" t="s">
        <v>2797</v>
      </c>
      <c r="F19" s="3354" t="s">
        <v>2798</v>
      </c>
      <c r="G19" s="3354" t="s">
        <v>1469</v>
      </c>
      <c r="H19" s="3354"/>
      <c r="I19" s="3354" t="s">
        <v>2737</v>
      </c>
      <c r="J19" s="3355"/>
      <c r="K19" s="3353" t="s">
        <v>2796</v>
      </c>
      <c r="L19" s="3354" t="s">
        <v>2797</v>
      </c>
      <c r="M19" s="3354" t="s">
        <v>2798</v>
      </c>
      <c r="N19" s="3354" t="s">
        <v>2799</v>
      </c>
      <c r="O19" s="3354"/>
      <c r="P19" s="3354" t="s">
        <v>2737</v>
      </c>
      <c r="Q19" s="3355"/>
      <c r="R19" s="3353" t="s">
        <v>2811</v>
      </c>
      <c r="S19" s="3354" t="s">
        <v>2812</v>
      </c>
      <c r="T19" s="3354" t="s">
        <v>2798</v>
      </c>
      <c r="U19" s="3354" t="s">
        <v>1469</v>
      </c>
      <c r="V19" s="3354"/>
      <c r="W19" s="3354" t="s">
        <v>2813</v>
      </c>
      <c r="X19" s="3355"/>
      <c r="Y19" s="3353" t="s">
        <v>2795</v>
      </c>
      <c r="Z19" s="3354" t="s">
        <v>2797</v>
      </c>
      <c r="AA19" s="3354" t="s">
        <v>2798</v>
      </c>
      <c r="AB19" s="3354" t="s">
        <v>1469</v>
      </c>
      <c r="AC19" s="3354"/>
      <c r="AD19" s="3354" t="s">
        <v>2816</v>
      </c>
    </row>
    <row r="20" spans="1:30">
      <c r="A20" s="3342" t="s">
        <v>2788</v>
      </c>
      <c r="B20" s="3356"/>
      <c r="C20" s="3357"/>
      <c r="D20" s="3357"/>
      <c r="E20" s="3357">
        <f>ROUND(AVERAGEIF(E21:E30,"&lt;&gt;0"),2)</f>
        <v>0.39</v>
      </c>
      <c r="F20" s="3357">
        <f>ROUND(AVERAGEIF(F21:F30,"&lt;&gt;0"),2)</f>
        <v>0.27</v>
      </c>
      <c r="G20" s="3357">
        <f>ROUND(AVERAGEIF(G21:G30,"&lt;&gt;0"),2)</f>
        <v>0.79</v>
      </c>
      <c r="H20" s="3357"/>
      <c r="I20" s="3357">
        <f>F20</f>
        <v>0.27</v>
      </c>
      <c r="J20" s="3358"/>
      <c r="K20" s="3359"/>
      <c r="L20" s="3360">
        <f>ROUND(AVERAGEIF(L21:L30,"&lt;&gt;0"),4)</f>
        <v>3.8999999999999998E-3</v>
      </c>
      <c r="M20" s="3360">
        <f>ROUND(AVERAGEIF(M21:M30,"&lt;&gt;0"),4)</f>
        <v>2.7000000000000001E-3</v>
      </c>
      <c r="N20" s="3360">
        <f>ROUND(AVERAGEIF(N21:N30,"&lt;&gt;0"),4)</f>
        <v>7.9000000000000008E-3</v>
      </c>
      <c r="O20" s="3360"/>
      <c r="P20" s="3360">
        <f>M20</f>
        <v>2.7000000000000001E-3</v>
      </c>
      <c r="Q20" s="3358"/>
      <c r="R20" s="3375"/>
      <c r="S20" s="3376">
        <f>ROUND(SUMPRODUCT(PRODUCT(1+L21:L30)),4)</f>
        <v>1.0277000000000001</v>
      </c>
      <c r="T20" s="3376">
        <f>ROUND(SUMPRODUCT(PRODUCT(1+M21:M30)),4)</f>
        <v>1.0192000000000001</v>
      </c>
      <c r="U20" s="3376">
        <f>ROUND(SUMPRODUCT(PRODUCT(1+N21:N30)),4)</f>
        <v>1.0569</v>
      </c>
      <c r="V20" s="3376"/>
      <c r="W20" s="3375">
        <f>T20</f>
        <v>1.0192000000000001</v>
      </c>
      <c r="X20" s="3358"/>
      <c r="Y20" s="3383"/>
      <c r="Z20" s="3384">
        <f>ROUND(AVERAGEIF(Z21:Z30,"&lt;&gt;0"),4)</f>
        <v>4.4000000000000003E-3</v>
      </c>
      <c r="AA20" s="3385">
        <f>ROUND(AVERAGEIF(AA21:AA30,"&lt;&gt;0"),4)</f>
        <v>3.7000000000000002E-3</v>
      </c>
      <c r="AB20" s="3383">
        <f>ROUND(AVERAGEIF(AB21:AB30,"&lt;&gt;0"),4)</f>
        <v>9.1000000000000004E-3</v>
      </c>
      <c r="AC20" s="3386"/>
      <c r="AD20" s="3383">
        <f>AA20</f>
        <v>3.7000000000000002E-3</v>
      </c>
    </row>
    <row r="21" spans="1:30">
      <c r="A21" s="3343"/>
      <c r="B21" s="3361"/>
      <c r="C21" s="3362"/>
      <c r="D21" s="3362"/>
      <c r="E21" s="3362"/>
      <c r="F21" s="3362"/>
      <c r="G21" s="3362"/>
      <c r="H21" s="3362"/>
      <c r="I21" s="3362"/>
      <c r="J21" s="3350"/>
      <c r="K21" s="3363"/>
      <c r="L21" s="3364"/>
      <c r="M21" s="3364"/>
      <c r="N21" s="3364"/>
      <c r="O21" s="3364"/>
      <c r="P21" s="3364"/>
      <c r="Q21" s="3350"/>
      <c r="R21" s="3377"/>
      <c r="S21" s="3378"/>
      <c r="T21" s="3379"/>
      <c r="U21" s="3377"/>
      <c r="V21" s="3380"/>
      <c r="W21" s="3377"/>
      <c r="X21" s="3350"/>
      <c r="Y21" s="3367"/>
      <c r="Z21" s="3387"/>
      <c r="AA21" s="3388"/>
      <c r="AB21" s="3367"/>
      <c r="AC21" s="3389"/>
      <c r="AD21" s="3367"/>
    </row>
    <row r="22" spans="1:30">
      <c r="A22" s="3344" t="s">
        <v>2789</v>
      </c>
      <c r="B22" s="3403">
        <v>2023</v>
      </c>
      <c r="C22" s="3404">
        <v>1</v>
      </c>
      <c r="D22" s="3404"/>
      <c r="E22" s="3404">
        <v>0</v>
      </c>
      <c r="F22" s="3404">
        <v>0</v>
      </c>
      <c r="G22" s="3404">
        <v>0</v>
      </c>
      <c r="H22" s="3404"/>
      <c r="I22" s="3405">
        <f t="shared" ref="I22:I30" si="5">F22</f>
        <v>0</v>
      </c>
      <c r="J22" s="3365"/>
      <c r="K22" s="3366"/>
      <c r="L22" s="3367">
        <f t="shared" ref="L22:N30" si="6">E22/100</f>
        <v>0</v>
      </c>
      <c r="M22" s="3367">
        <f t="shared" si="6"/>
        <v>0</v>
      </c>
      <c r="N22" s="3367">
        <f t="shared" si="6"/>
        <v>0</v>
      </c>
      <c r="O22" s="3367"/>
      <c r="P22" s="3367">
        <f>M22</f>
        <v>0</v>
      </c>
      <c r="Q22" s="3365"/>
      <c r="R22" s="3381"/>
      <c r="S22" s="3381">
        <f>ROUND(IF(项目基本情况!$B$8="出让",SUMPRODUCT(PRODUCT(1+L22:L$30)),SUMPRODUCT(PRODUCT(1+L22:L$29))),4)</f>
        <v>1.0241</v>
      </c>
      <c r="T22" s="3381">
        <f>ROUND(IF(项目基本情况!$B$8="出让",SUMPRODUCT(PRODUCT(1+M22:M$30)),SUMPRODUCT(PRODUCT(1+M22:M$29))),4)</f>
        <v>1.0144</v>
      </c>
      <c r="U22" s="3381">
        <f>ROUND(IF(项目基本情况!$B$8="出让",SUMPRODUCT(PRODUCT(1+N22:N$30)),SUMPRODUCT(PRODUCT(1+N22:N$29))),4)</f>
        <v>1.0467</v>
      </c>
      <c r="V22" s="3381"/>
      <c r="W22" s="3381">
        <f>T22</f>
        <v>1.0144</v>
      </c>
      <c r="X22" s="3365"/>
      <c r="Y22" s="3390"/>
      <c r="Z22" s="3391">
        <f>IF(E22=0,0,ROUND(AVERAGE(E22:E30)/100,4))</f>
        <v>0</v>
      </c>
      <c r="AA22" s="3391">
        <f>IF(F22=0,0,ROUND(AVERAGE(F22:F30)/100,4))</f>
        <v>0</v>
      </c>
      <c r="AB22" s="3391">
        <f>IF(G22=0,0,ROUND(AVERAGE(G22:G30)/100,4))</f>
        <v>0</v>
      </c>
      <c r="AC22" s="3392"/>
      <c r="AD22" s="3390">
        <f>IF(I22=0,0,ROUND(AVERAGE(I22:I30)/100,4))</f>
        <v>0</v>
      </c>
    </row>
    <row r="23" spans="1:30">
      <c r="A23" s="3344" t="s">
        <v>2790</v>
      </c>
      <c r="B23" s="3403">
        <v>2022</v>
      </c>
      <c r="C23" s="3404">
        <v>4</v>
      </c>
      <c r="D23" s="3404"/>
      <c r="E23" s="3404">
        <v>0</v>
      </c>
      <c r="F23" s="3404">
        <v>0</v>
      </c>
      <c r="G23" s="3404">
        <v>0</v>
      </c>
      <c r="H23" s="3404"/>
      <c r="I23" s="3405">
        <f t="shared" si="5"/>
        <v>0</v>
      </c>
      <c r="J23" s="3365"/>
      <c r="K23" s="3366"/>
      <c r="L23" s="3367">
        <f t="shared" si="6"/>
        <v>0</v>
      </c>
      <c r="M23" s="3367">
        <f t="shared" si="6"/>
        <v>0</v>
      </c>
      <c r="N23" s="3367">
        <f t="shared" si="6"/>
        <v>0</v>
      </c>
      <c r="O23" s="3367"/>
      <c r="P23" s="3367">
        <f t="shared" ref="P23:P30" si="7">M23</f>
        <v>0</v>
      </c>
      <c r="Q23" s="3365"/>
      <c r="R23" s="3381"/>
      <c r="S23" s="3381">
        <f>ROUND(IF(项目基本情况!$B$8="出让",SUMPRODUCT(PRODUCT(1+L23:L$30)),SUMPRODUCT(PRODUCT(1+L23:L$29))),4)</f>
        <v>1.0241</v>
      </c>
      <c r="T23" s="3381">
        <f>ROUND(IF(项目基本情况!$B$8="出让",SUMPRODUCT(PRODUCT(1+M23:M$30)),SUMPRODUCT(PRODUCT(1+M23:M$29))),4)</f>
        <v>1.0144</v>
      </c>
      <c r="U23" s="3381">
        <f>ROUND(IF(项目基本情况!$B$8="出让",SUMPRODUCT(PRODUCT(1+N23:N$30)),SUMPRODUCT(PRODUCT(1+N23:N$29))),4)</f>
        <v>1.0467</v>
      </c>
      <c r="V23" s="3381"/>
      <c r="W23" s="3381">
        <f t="shared" ref="W23:W30" si="8">T23</f>
        <v>1.0144</v>
      </c>
      <c r="X23" s="3365"/>
      <c r="Y23" s="3390"/>
      <c r="Z23" s="3391">
        <f t="shared" ref="Z23:AD30" si="9">IF(E23=0,0,ROUND(AVERAGE(E23:E31)/100,4))</f>
        <v>0</v>
      </c>
      <c r="AA23" s="3393">
        <f t="shared" si="9"/>
        <v>0</v>
      </c>
      <c r="AB23" s="3390">
        <f t="shared" si="9"/>
        <v>0</v>
      </c>
      <c r="AC23" s="3392"/>
      <c r="AD23" s="3390">
        <f t="shared" si="9"/>
        <v>0</v>
      </c>
    </row>
    <row r="24" spans="1:30">
      <c r="A24" s="3345" t="s">
        <v>3253</v>
      </c>
      <c r="B24" s="3406">
        <v>2022</v>
      </c>
      <c r="C24" s="3407">
        <v>3</v>
      </c>
      <c r="D24" s="3407"/>
      <c r="E24" s="3407">
        <v>0.3</v>
      </c>
      <c r="F24" s="3407">
        <v>0.28999999999999998</v>
      </c>
      <c r="G24" s="3407">
        <v>0.83</v>
      </c>
      <c r="H24" s="3408"/>
      <c r="I24" s="3409">
        <f t="shared" si="5"/>
        <v>0.28999999999999998</v>
      </c>
      <c r="J24" s="3368"/>
      <c r="K24" s="3369"/>
      <c r="L24" s="3370">
        <f t="shared" si="6"/>
        <v>3.0000000000000001E-3</v>
      </c>
      <c r="M24" s="3370">
        <f t="shared" si="6"/>
        <v>2.8999999999999998E-3</v>
      </c>
      <c r="N24" s="3370">
        <f t="shared" si="6"/>
        <v>8.3000000000000001E-3</v>
      </c>
      <c r="O24" s="3370"/>
      <c r="P24" s="3370">
        <f t="shared" si="7"/>
        <v>2.8999999999999998E-3</v>
      </c>
      <c r="Q24" s="3368"/>
      <c r="R24" s="3368"/>
      <c r="S24" s="3368">
        <f>ROUND(IF(项目基本情况!$B$8="出让",SUMPRODUCT(PRODUCT(1+L24:L$30)),SUMPRODUCT(PRODUCT(1+L24:L$29))),4)</f>
        <v>1.0241</v>
      </c>
      <c r="T24" s="3368">
        <f>ROUND(IF(项目基本情况!$B$8="出让",SUMPRODUCT(PRODUCT(1+M24:M$30)),SUMPRODUCT(PRODUCT(1+M24:M$29))),4)</f>
        <v>1.0144</v>
      </c>
      <c r="U24" s="3368">
        <f>ROUND(IF(项目基本情况!$B$8="出让",SUMPRODUCT(PRODUCT(1+N24:N$30)),SUMPRODUCT(PRODUCT(1+N24:N$29))),4)</f>
        <v>1.0467</v>
      </c>
      <c r="V24" s="3368"/>
      <c r="W24" s="3368">
        <f t="shared" si="8"/>
        <v>1.0144</v>
      </c>
      <c r="X24" s="3368"/>
      <c r="Y24" s="3370"/>
      <c r="Z24" s="3394">
        <f t="shared" si="9"/>
        <v>3.8999999999999998E-3</v>
      </c>
      <c r="AA24" s="3395">
        <f t="shared" si="9"/>
        <v>2.7000000000000001E-3</v>
      </c>
      <c r="AB24" s="3370">
        <f t="shared" si="9"/>
        <v>7.9000000000000008E-3</v>
      </c>
      <c r="AC24" s="3396"/>
      <c r="AD24" s="3370">
        <f t="shared" si="9"/>
        <v>2.7000000000000001E-3</v>
      </c>
    </row>
    <row r="25" spans="1:30">
      <c r="A25" s="3344" t="s">
        <v>3252</v>
      </c>
      <c r="B25" s="3403">
        <v>2022</v>
      </c>
      <c r="C25" s="3404">
        <v>2</v>
      </c>
      <c r="D25" s="3404"/>
      <c r="E25" s="3404">
        <v>-0.11</v>
      </c>
      <c r="F25" s="3404">
        <v>-0.13</v>
      </c>
      <c r="G25" s="3404">
        <v>0.53</v>
      </c>
      <c r="H25" s="3410"/>
      <c r="I25" s="3405">
        <f t="shared" si="5"/>
        <v>-0.13</v>
      </c>
      <c r="J25" s="3365"/>
      <c r="K25" s="3366"/>
      <c r="L25" s="3367">
        <f t="shared" si="6"/>
        <v>-1.1000000000000001E-3</v>
      </c>
      <c r="M25" s="3367">
        <f t="shared" si="6"/>
        <v>-1.2999999999999999E-3</v>
      </c>
      <c r="N25" s="3367">
        <f t="shared" si="6"/>
        <v>5.3E-3</v>
      </c>
      <c r="O25" s="3367"/>
      <c r="P25" s="3367">
        <f t="shared" si="7"/>
        <v>-1.2999999999999999E-3</v>
      </c>
      <c r="Q25" s="3365"/>
      <c r="R25" s="3381"/>
      <c r="S25" s="3381">
        <f>ROUND(IF(项目基本情况!$B$8="出让",SUMPRODUCT(PRODUCT(1+L25:L$30)),SUMPRODUCT(PRODUCT(1+L25:L$29))),4)</f>
        <v>1.0210999999999999</v>
      </c>
      <c r="T25" s="3381">
        <f>ROUND(IF(项目基本情况!$B$8="出让",SUMPRODUCT(PRODUCT(1+M25:M$30)),SUMPRODUCT(PRODUCT(1+M25:M$29))),4)</f>
        <v>1.0114000000000001</v>
      </c>
      <c r="U25" s="3381">
        <f>ROUND(IF(项目基本情况!$B$8="出让",SUMPRODUCT(PRODUCT(1+N25:N$30)),SUMPRODUCT(PRODUCT(1+N25:N$29))),4)</f>
        <v>1.0381</v>
      </c>
      <c r="V25" s="3381"/>
      <c r="W25" s="3381">
        <f t="shared" si="8"/>
        <v>1.0114000000000001</v>
      </c>
      <c r="X25" s="3365"/>
      <c r="Y25" s="3390"/>
      <c r="Z25" s="3391">
        <f t="shared" si="9"/>
        <v>4.1000000000000003E-3</v>
      </c>
      <c r="AA25" s="3393">
        <f t="shared" si="9"/>
        <v>2.7000000000000001E-3</v>
      </c>
      <c r="AB25" s="3390">
        <f t="shared" si="9"/>
        <v>7.9000000000000008E-3</v>
      </c>
      <c r="AC25" s="3392"/>
      <c r="AD25" s="3390">
        <f t="shared" si="9"/>
        <v>2.7000000000000001E-3</v>
      </c>
    </row>
    <row r="26" spans="1:30">
      <c r="A26" s="3344" t="s">
        <v>2783</v>
      </c>
      <c r="B26" s="3403">
        <v>2022</v>
      </c>
      <c r="C26" s="3404">
        <v>1</v>
      </c>
      <c r="D26" s="3404"/>
      <c r="E26" s="3404">
        <v>0.6</v>
      </c>
      <c r="F26" s="3404">
        <v>0.45</v>
      </c>
      <c r="G26" s="3404">
        <v>0.53</v>
      </c>
      <c r="H26" s="3410"/>
      <c r="I26" s="3405">
        <f t="shared" si="5"/>
        <v>0.45</v>
      </c>
      <c r="J26" s="3365"/>
      <c r="K26" s="3366"/>
      <c r="L26" s="3367">
        <f t="shared" si="6"/>
        <v>6.0000000000000001E-3</v>
      </c>
      <c r="M26" s="3367">
        <f t="shared" si="6"/>
        <v>4.5000000000000005E-3</v>
      </c>
      <c r="N26" s="3367">
        <f t="shared" si="6"/>
        <v>5.3E-3</v>
      </c>
      <c r="O26" s="3367"/>
      <c r="P26" s="3367">
        <f t="shared" si="7"/>
        <v>4.5000000000000005E-3</v>
      </c>
      <c r="Q26" s="3365"/>
      <c r="R26" s="3381"/>
      <c r="S26" s="3381">
        <f>ROUND(IF(项目基本情况!$B$8="出让",SUMPRODUCT(PRODUCT(1+L26:L$30)),SUMPRODUCT(PRODUCT(1+L26:L$29))),4)</f>
        <v>1.0222</v>
      </c>
      <c r="T26" s="3381">
        <f>ROUND(IF(项目基本情况!$B$8="出让",SUMPRODUCT(PRODUCT(1+M26:M$30)),SUMPRODUCT(PRODUCT(1+M26:M$29))),4)</f>
        <v>1.0127999999999999</v>
      </c>
      <c r="U26" s="3381">
        <f>ROUND(IF(项目基本情况!$B$8="出让",SUMPRODUCT(PRODUCT(1+N26:N$30)),SUMPRODUCT(PRODUCT(1+N26:N$29))),4)</f>
        <v>1.0326</v>
      </c>
      <c r="V26" s="3381"/>
      <c r="W26" s="3381">
        <f t="shared" si="8"/>
        <v>1.0127999999999999</v>
      </c>
      <c r="X26" s="3365"/>
      <c r="Y26" s="3390"/>
      <c r="Z26" s="3391">
        <f t="shared" si="9"/>
        <v>5.1000000000000004E-3</v>
      </c>
      <c r="AA26" s="3393">
        <f t="shared" si="9"/>
        <v>3.5000000000000001E-3</v>
      </c>
      <c r="AB26" s="3390">
        <f t="shared" si="9"/>
        <v>8.3999999999999995E-3</v>
      </c>
      <c r="AC26" s="3392"/>
      <c r="AD26" s="3390">
        <f t="shared" si="9"/>
        <v>3.5000000000000001E-3</v>
      </c>
    </row>
    <row r="27" spans="1:30">
      <c r="A27" s="3344" t="s">
        <v>2784</v>
      </c>
      <c r="B27" s="3403">
        <v>2021</v>
      </c>
      <c r="C27" s="3404">
        <v>4</v>
      </c>
      <c r="D27" s="3404"/>
      <c r="E27" s="3404">
        <v>0.57999999999999996</v>
      </c>
      <c r="F27" s="3404">
        <v>0.08</v>
      </c>
      <c r="G27" s="3404">
        <v>0.68</v>
      </c>
      <c r="H27" s="3410"/>
      <c r="I27" s="3405">
        <f t="shared" si="5"/>
        <v>0.08</v>
      </c>
      <c r="J27" s="3365"/>
      <c r="K27" s="3366"/>
      <c r="L27" s="3367">
        <f t="shared" si="6"/>
        <v>5.7999999999999996E-3</v>
      </c>
      <c r="M27" s="3367">
        <f t="shared" si="6"/>
        <v>8.0000000000000004E-4</v>
      </c>
      <c r="N27" s="3367">
        <f t="shared" si="6"/>
        <v>6.8000000000000005E-3</v>
      </c>
      <c r="O27" s="3367"/>
      <c r="P27" s="3367">
        <f t="shared" si="7"/>
        <v>8.0000000000000004E-4</v>
      </c>
      <c r="Q27" s="3365"/>
      <c r="R27" s="3381"/>
      <c r="S27" s="3381">
        <f>ROUND(IF(项目基本情况!$B$8="出让",SUMPRODUCT(PRODUCT(1+L27:L$30)),SUMPRODUCT(PRODUCT(1+L27:L$29))),4)</f>
        <v>1.0161</v>
      </c>
      <c r="T27" s="3381">
        <f>ROUND(IF(项目基本情况!$B$8="出让",SUMPRODUCT(PRODUCT(1+M27:M$30)),SUMPRODUCT(PRODUCT(1+M27:M$29))),4)</f>
        <v>1.0082</v>
      </c>
      <c r="U27" s="3381">
        <f>ROUND(IF(项目基本情况!$B$8="出让",SUMPRODUCT(PRODUCT(1+N27:N$30)),SUMPRODUCT(PRODUCT(1+N27:N$29))),4)</f>
        <v>1.0270999999999999</v>
      </c>
      <c r="V27" s="3381"/>
      <c r="W27" s="3381">
        <f t="shared" si="8"/>
        <v>1.0082</v>
      </c>
      <c r="X27" s="3365"/>
      <c r="Y27" s="3390"/>
      <c r="Z27" s="3391">
        <f t="shared" si="9"/>
        <v>4.8999999999999998E-3</v>
      </c>
      <c r="AA27" s="3393">
        <f t="shared" si="9"/>
        <v>3.3E-3</v>
      </c>
      <c r="AB27" s="3390">
        <f t="shared" si="9"/>
        <v>9.1999999999999998E-3</v>
      </c>
      <c r="AC27" s="3392"/>
      <c r="AD27" s="3390">
        <f t="shared" si="9"/>
        <v>3.3E-3</v>
      </c>
    </row>
    <row r="28" spans="1:30">
      <c r="A28" s="3344" t="s">
        <v>2785</v>
      </c>
      <c r="B28" s="3403">
        <v>2021</v>
      </c>
      <c r="C28" s="3404">
        <v>3</v>
      </c>
      <c r="D28" s="3404"/>
      <c r="E28" s="3404">
        <v>0.47</v>
      </c>
      <c r="F28" s="3404">
        <v>0.28000000000000003</v>
      </c>
      <c r="G28" s="3404">
        <v>0.91</v>
      </c>
      <c r="H28" s="3410"/>
      <c r="I28" s="3405">
        <f t="shared" si="5"/>
        <v>0.28000000000000003</v>
      </c>
      <c r="J28" s="3365"/>
      <c r="K28" s="3366"/>
      <c r="L28" s="3367">
        <f t="shared" si="6"/>
        <v>4.6999999999999993E-3</v>
      </c>
      <c r="M28" s="3367">
        <f t="shared" si="6"/>
        <v>2.8000000000000004E-3</v>
      </c>
      <c r="N28" s="3367">
        <f t="shared" si="6"/>
        <v>9.1000000000000004E-3</v>
      </c>
      <c r="O28" s="3367"/>
      <c r="P28" s="3367">
        <f t="shared" si="7"/>
        <v>2.8000000000000004E-3</v>
      </c>
      <c r="Q28" s="3365"/>
      <c r="R28" s="3381"/>
      <c r="S28" s="3381">
        <f>ROUND(IF(项目基本情况!$B$8="出让",SUMPRODUCT(PRODUCT(1+L28:L$30)),SUMPRODUCT(PRODUCT(1+L28:L$29))),4)</f>
        <v>1.0102</v>
      </c>
      <c r="T28" s="3381">
        <f>ROUND(IF(项目基本情况!$B$8="出让",SUMPRODUCT(PRODUCT(1+M28:M$30)),SUMPRODUCT(PRODUCT(1+M28:M$29))),4)</f>
        <v>1.0074000000000001</v>
      </c>
      <c r="U28" s="3381">
        <f>ROUND(IF(项目基本情况!$B$8="出让",SUMPRODUCT(PRODUCT(1+N28:N$30)),SUMPRODUCT(PRODUCT(1+N28:N$29))),4)</f>
        <v>1.0202</v>
      </c>
      <c r="V28" s="3381"/>
      <c r="W28" s="3381">
        <f t="shared" si="8"/>
        <v>1.0074000000000001</v>
      </c>
      <c r="X28" s="3365"/>
      <c r="Y28" s="3390"/>
      <c r="Z28" s="3391">
        <f t="shared" si="9"/>
        <v>4.5999999999999999E-3</v>
      </c>
      <c r="AA28" s="3393">
        <f t="shared" si="9"/>
        <v>4.1000000000000003E-3</v>
      </c>
      <c r="AB28" s="3390">
        <f t="shared" si="9"/>
        <v>0.01</v>
      </c>
      <c r="AC28" s="3392"/>
      <c r="AD28" s="3390">
        <f t="shared" si="9"/>
        <v>4.1000000000000003E-3</v>
      </c>
    </row>
    <row r="29" spans="1:30">
      <c r="A29" s="3344" t="s">
        <v>2791</v>
      </c>
      <c r="B29" s="3403">
        <v>2021</v>
      </c>
      <c r="C29" s="3404">
        <v>2</v>
      </c>
      <c r="D29" s="3404"/>
      <c r="E29" s="3404">
        <v>0.55000000000000004</v>
      </c>
      <c r="F29" s="3404">
        <v>0.46</v>
      </c>
      <c r="G29" s="3404">
        <v>1.1000000000000001</v>
      </c>
      <c r="H29" s="3410"/>
      <c r="I29" s="3405">
        <f t="shared" si="5"/>
        <v>0.46</v>
      </c>
      <c r="J29" s="3365"/>
      <c r="K29" s="3366"/>
      <c r="L29" s="3367">
        <f t="shared" si="6"/>
        <v>5.5000000000000005E-3</v>
      </c>
      <c r="M29" s="3367">
        <f t="shared" si="6"/>
        <v>4.5999999999999999E-3</v>
      </c>
      <c r="N29" s="3367">
        <f t="shared" si="6"/>
        <v>1.1000000000000001E-2</v>
      </c>
      <c r="O29" s="3367"/>
      <c r="P29" s="3367">
        <f t="shared" si="7"/>
        <v>4.5999999999999999E-3</v>
      </c>
      <c r="Q29" s="3365"/>
      <c r="R29" s="3381"/>
      <c r="S29" s="3381">
        <f>ROUND(IF(项目基本情况!$B$8="出让",SUMPRODUCT(PRODUCT(1+L29:L$30)),SUMPRODUCT(PRODUCT(1+L29:L$29))),4)</f>
        <v>1.0055000000000001</v>
      </c>
      <c r="T29" s="3381">
        <f>ROUND(IF(项目基本情况!$B$8="出让",SUMPRODUCT(PRODUCT(1+M29:M$30)),SUMPRODUCT(PRODUCT(1+M29:M$29))),4)</f>
        <v>1.0045999999999999</v>
      </c>
      <c r="U29" s="3381">
        <f>ROUND(IF(项目基本情况!$B$8="出让",SUMPRODUCT(PRODUCT(1+N29:N$30)),SUMPRODUCT(PRODUCT(1+N29:N$29))),4)</f>
        <v>1.0109999999999999</v>
      </c>
      <c r="V29" s="3381"/>
      <c r="W29" s="3381">
        <f t="shared" si="8"/>
        <v>1.0045999999999999</v>
      </c>
      <c r="X29" s="3365"/>
      <c r="Y29" s="3390"/>
      <c r="Z29" s="3391">
        <f t="shared" si="9"/>
        <v>4.4999999999999997E-3</v>
      </c>
      <c r="AA29" s="3393">
        <f t="shared" si="9"/>
        <v>4.7000000000000002E-3</v>
      </c>
      <c r="AB29" s="3390">
        <f t="shared" si="9"/>
        <v>1.04E-2</v>
      </c>
      <c r="AC29" s="3392"/>
      <c r="AD29" s="3390">
        <f t="shared" si="9"/>
        <v>4.7000000000000002E-3</v>
      </c>
    </row>
    <row r="30" spans="1:30" ht="14.25" thickBot="1">
      <c r="A30" s="3346" t="s">
        <v>2792</v>
      </c>
      <c r="B30" s="3411">
        <v>2021</v>
      </c>
      <c r="C30" s="3412">
        <v>1</v>
      </c>
      <c r="D30" s="3412"/>
      <c r="E30" s="3412">
        <v>0.35</v>
      </c>
      <c r="F30" s="3412">
        <v>0.48</v>
      </c>
      <c r="G30" s="3412">
        <v>0.98</v>
      </c>
      <c r="H30" s="3413"/>
      <c r="I30" s="3414">
        <f t="shared" si="5"/>
        <v>0.48</v>
      </c>
      <c r="J30" s="3371"/>
      <c r="K30" s="3372"/>
      <c r="L30" s="3373">
        <f t="shared" si="6"/>
        <v>3.4999999999999996E-3</v>
      </c>
      <c r="M30" s="3373">
        <f>F30/100</f>
        <v>4.7999999999999996E-3</v>
      </c>
      <c r="N30" s="3373">
        <f t="shared" si="6"/>
        <v>9.7999999999999997E-3</v>
      </c>
      <c r="O30" s="3373"/>
      <c r="P30" s="3373">
        <f t="shared" si="7"/>
        <v>4.7999999999999996E-3</v>
      </c>
      <c r="Q30" s="3371"/>
      <c r="R30" s="3382"/>
      <c r="S30" s="3382">
        <v>1</v>
      </c>
      <c r="T30" s="3382">
        <v>1</v>
      </c>
      <c r="U30" s="3382">
        <v>1</v>
      </c>
      <c r="V30" s="3382"/>
      <c r="W30" s="3382">
        <f t="shared" si="8"/>
        <v>1</v>
      </c>
      <c r="X30" s="3371"/>
      <c r="Y30" s="3373"/>
      <c r="Z30" s="3397">
        <f t="shared" si="9"/>
        <v>3.5000000000000001E-3</v>
      </c>
      <c r="AA30" s="3398">
        <f t="shared" si="9"/>
        <v>4.7999999999999996E-3</v>
      </c>
      <c r="AB30" s="3373">
        <f t="shared" si="9"/>
        <v>9.7999999999999997E-3</v>
      </c>
      <c r="AC30" s="3399"/>
      <c r="AD30" s="337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56.25">
      <c r="A7" s="1583" t="s">
        <v>2029</v>
      </c>
    </row>
    <row r="8" spans="1:4" ht="18.75">
      <c r="A8" s="1582" t="s">
        <v>1430</v>
      </c>
    </row>
    <row r="9" spans="1:4" ht="75">
      <c r="A9" s="1584"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2023年1月3日</v>
      </c>
    </row>
    <row r="12" spans="1:4" ht="18.75">
      <c r="A12" s="1585" t="s">
        <v>1543</v>
      </c>
    </row>
    <row r="13" spans="1:4" ht="18.75">
      <c r="A13" s="1579" t="s">
        <v>2200</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10月13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2207</v>
      </c>
      <c r="B1" s="2988"/>
      <c r="C1" s="2988"/>
      <c r="D1" s="2988"/>
      <c r="E1" s="2988"/>
      <c r="F1" s="2988"/>
      <c r="G1" s="2989"/>
      <c r="H1" s="2989"/>
      <c r="I1" s="2989"/>
      <c r="J1" s="2989"/>
      <c r="K1" s="2989"/>
      <c r="L1" s="2989"/>
      <c r="M1" s="2989"/>
      <c r="N1" s="2989"/>
    </row>
    <row r="2" spans="1:14" ht="14.25">
      <c r="A2" s="2994" t="s">
        <v>2202</v>
      </c>
      <c r="B2" s="2999">
        <f ca="1">SUMIF(B7:B14,"&lt;&gt;#ref!",B7:B14)</f>
        <v>0</v>
      </c>
      <c r="C2" s="2994" t="s">
        <v>2203</v>
      </c>
      <c r="D2" s="2991"/>
      <c r="E2" s="2991"/>
      <c r="F2" s="2991"/>
      <c r="G2" s="2989"/>
      <c r="H2" s="2989"/>
      <c r="I2" s="2989"/>
      <c r="J2" s="2989"/>
      <c r="K2" s="2989"/>
      <c r="L2" s="2989"/>
      <c r="M2" s="2989"/>
      <c r="N2" s="2989"/>
    </row>
    <row r="3" spans="1:14" ht="14.25">
      <c r="A3" s="2994" t="s">
        <v>2231</v>
      </c>
      <c r="B3" s="2999" t="e">
        <f ca="1">ROUND(B2*10000/E3,0)</f>
        <v>#DIV/0!</v>
      </c>
      <c r="C3" s="2994" t="s">
        <v>1596</v>
      </c>
      <c r="D3" s="2994" t="s">
        <v>2204</v>
      </c>
      <c r="E3" s="2992">
        <f ca="1">SUMIF(E7:E14,"&lt;&gt;#ref!",E7:E14)</f>
        <v>0</v>
      </c>
      <c r="F3" s="2991"/>
      <c r="G3" s="2989"/>
      <c r="H3" s="2989"/>
      <c r="I3" s="2989"/>
      <c r="J3" s="2989"/>
      <c r="K3" s="2989"/>
      <c r="L3" s="2989"/>
      <c r="M3" s="2989"/>
      <c r="N3" s="2989"/>
    </row>
    <row r="4" spans="1:14" ht="14.25">
      <c r="A4" s="2994" t="s">
        <v>2210</v>
      </c>
      <c r="B4" s="2999" t="e">
        <f ca="1">ROUND(B2*10000/E4,0)</f>
        <v>#DIV/0!</v>
      </c>
      <c r="C4" s="2994" t="s">
        <v>1596</v>
      </c>
      <c r="D4" s="2994" t="s">
        <v>2211</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2208</v>
      </c>
      <c r="B6" s="2994" t="s">
        <v>2205</v>
      </c>
      <c r="C6" s="2545"/>
      <c r="D6" s="2991"/>
      <c r="E6" s="2994" t="s">
        <v>2206</v>
      </c>
      <c r="F6" s="2994" t="s">
        <v>2209</v>
      </c>
      <c r="G6" s="2989"/>
      <c r="H6" s="2989"/>
      <c r="I6" s="2989"/>
      <c r="J6" s="2989"/>
      <c r="K6" s="2989"/>
      <c r="L6" s="2989"/>
      <c r="M6" s="2989"/>
      <c r="N6" s="2989"/>
    </row>
    <row r="7" spans="1:14" ht="14.25">
      <c r="A7" s="2997"/>
      <c r="B7" s="2999" t="e">
        <f ca="1">SUMIF(INDIRECT("'"&amp;A7&amp;"'"&amp;"!A:A"),"总价",INDIRECT("'"&amp;A7&amp;"'"&amp;"!B:B"))</f>
        <v>#REF!</v>
      </c>
      <c r="C7" s="2994" t="s">
        <v>2203</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2203</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2203</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2203</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2203</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2203</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2203</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2203</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6" t="s">
        <v>1807</v>
      </c>
      <c r="C8" s="1612">
        <f ca="1">ROUND(F8*F10*F9*(1-F11)/10000,0)</f>
        <v>0</v>
      </c>
      <c r="D8" s="1609" t="s">
        <v>1817</v>
      </c>
      <c r="E8" s="59" t="s">
        <v>585</v>
      </c>
      <c r="F8" s="751">
        <f ca="1">INDIRECT("'数据-取费表'!u"&amp;$G$1)</f>
        <v>0</v>
      </c>
      <c r="G8" s="1405"/>
      <c r="H8" s="2151" t="s">
        <v>1353</v>
      </c>
      <c r="I8" s="3936" t="s">
        <v>1807</v>
      </c>
      <c r="J8" s="749">
        <f ca="1">ROUND(M8*M10*M9*(1-M11)/10000,0)</f>
        <v>0</v>
      </c>
      <c r="K8" s="332" t="s">
        <v>1817</v>
      </c>
      <c r="L8" s="750" t="s">
        <v>1267</v>
      </c>
      <c r="M8" s="751">
        <f ca="1">INDIRECT("'数据-取费表'!z"&amp;$G$1)</f>
        <v>0</v>
      </c>
    </row>
    <row r="9" spans="1:25" ht="18" customHeight="1">
      <c r="A9" s="2147"/>
      <c r="B9" s="3937"/>
      <c r="C9" s="1613"/>
      <c r="D9" s="1610"/>
      <c r="E9" s="59" t="s">
        <v>586</v>
      </c>
      <c r="F9" s="751">
        <f ca="1">IF(INDIRECT("'数据-取费表'!ah"&amp;$G$1)="",INDIRECT("'数据-取费表'!k"&amp;$G$1),INDIRECT("'数据-取费表'!ah"&amp;$G$1))</f>
        <v>0</v>
      </c>
      <c r="G9" s="1405"/>
      <c r="H9" s="2136"/>
      <c r="I9" s="3937"/>
      <c r="J9" s="754"/>
      <c r="K9" s="755"/>
      <c r="L9" s="750" t="s">
        <v>1268</v>
      </c>
      <c r="M9" s="751">
        <f ca="1">F9</f>
        <v>0</v>
      </c>
    </row>
    <row r="10" spans="1:25" ht="18" customHeight="1">
      <c r="A10" s="2140"/>
      <c r="B10" s="3938"/>
      <c r="C10" s="1613"/>
      <c r="D10" s="1610"/>
      <c r="E10" s="59" t="s">
        <v>587</v>
      </c>
      <c r="F10" s="751">
        <f ca="1">INDIRECT("'数据-取费表'!ai"&amp;$G$1)</f>
        <v>0</v>
      </c>
      <c r="G10" s="1405"/>
      <c r="H10" s="2136"/>
      <c r="I10" s="3938"/>
      <c r="J10" s="754"/>
      <c r="K10" s="755"/>
      <c r="L10" s="750" t="s">
        <v>1269</v>
      </c>
      <c r="M10" s="751">
        <f ca="1">INDIRECT("'数据-取费表'!ai"&amp;$G$1)</f>
        <v>0</v>
      </c>
    </row>
    <row r="11" spans="1:25" ht="18" customHeight="1">
      <c r="A11" s="752"/>
      <c r="B11" s="3939"/>
      <c r="C11" s="1613"/>
      <c r="D11" s="1610"/>
      <c r="E11" s="59" t="s">
        <v>588</v>
      </c>
      <c r="F11" s="760">
        <f ca="1">INDIRECT("'数据-取费表'!w"&amp;$G$1)</f>
        <v>0</v>
      </c>
      <c r="G11" s="1405"/>
      <c r="H11" s="2152"/>
      <c r="I11" s="393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2228</v>
      </c>
      <c r="E12" s="2145" t="s">
        <v>1808</v>
      </c>
      <c r="F12" s="2229"/>
      <c r="G12" s="1405"/>
      <c r="H12" s="2179" t="s">
        <v>1354</v>
      </c>
      <c r="I12" s="2184" t="s">
        <v>1803</v>
      </c>
      <c r="J12" s="749">
        <f ca="1">ROUND(IF(M12="押一",J8/12*M13,IF(M12="押二",J8/12*2*M13,IF(M12="押三",J8/12*3*M13,J13*M13))),0)</f>
        <v>0</v>
      </c>
      <c r="K12" s="2148" t="s">
        <v>2228</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1.4999999999999999E-2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4.2999999999999997E-2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35"/>
      <c r="J36" s="1803"/>
      <c r="K36" s="1804"/>
      <c r="L36" s="1803"/>
      <c r="M36" s="1803"/>
    </row>
    <row r="37" spans="1:18" ht="18" customHeight="1">
      <c r="A37" s="780"/>
      <c r="B37" s="759"/>
      <c r="C37" s="67"/>
      <c r="D37" s="781"/>
      <c r="E37" s="750" t="s">
        <v>621</v>
      </c>
      <c r="F37" s="751">
        <f ca="1">INDIRECT("'数据-取费表'!r"&amp;$G$1)</f>
        <v>0</v>
      </c>
      <c r="G37" s="1786"/>
      <c r="H37" s="1789"/>
      <c r="I37" s="393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2218</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2221</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2232</v>
      </c>
      <c r="J54" s="2611">
        <f ca="1">IF(M48="住宅",MAX(J52,L49-'数据-取费表'!B20),MIN(J52,L49-'数据-取费表'!B20))</f>
        <v>-3</v>
      </c>
      <c r="K54" s="3940"/>
      <c r="L54" s="394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2201</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54" sqref="K5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2738</v>
      </c>
      <c r="D1" s="2553" t="s">
        <v>3351</v>
      </c>
      <c r="E1" s="2079" t="s">
        <v>1728</v>
      </c>
      <c r="F1" s="2080">
        <f ca="1">J53</f>
        <v>27.79</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186347</v>
      </c>
      <c r="C2" s="3006"/>
      <c r="D2" s="3007"/>
      <c r="E2" s="3008"/>
      <c r="F2" s="3008"/>
      <c r="G2" s="3002"/>
      <c r="H2" s="1781"/>
      <c r="I2" s="1781"/>
      <c r="J2" s="1781"/>
      <c r="K2" s="1782"/>
      <c r="L2" s="1781"/>
      <c r="M2" s="1781"/>
    </row>
    <row r="3" spans="1:33" ht="18" customHeight="1" thickBot="1">
      <c r="A3" s="798" t="s">
        <v>1256</v>
      </c>
      <c r="B3" s="799">
        <f ca="1">IF(ISERROR(B2*10000/F43),0,ROUND(B2*10000/F43,0))</f>
        <v>6338</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13700</v>
      </c>
      <c r="D5" s="2143" t="s">
        <v>1805</v>
      </c>
      <c r="E5" s="2137"/>
      <c r="F5" s="2138"/>
      <c r="G5" s="1786"/>
      <c r="H5" s="747">
        <v>1</v>
      </c>
      <c r="I5" s="748" t="s">
        <v>1802</v>
      </c>
      <c r="J5" s="53">
        <f ca="1">J6+J10+J12</f>
        <v>0</v>
      </c>
      <c r="K5" s="2143" t="s">
        <v>1805</v>
      </c>
      <c r="L5" s="2137"/>
      <c r="M5" s="2138"/>
    </row>
    <row r="6" spans="1:33" ht="18" customHeight="1">
      <c r="A6" s="1617" t="s">
        <v>1353</v>
      </c>
      <c r="B6" s="3936" t="s">
        <v>1807</v>
      </c>
      <c r="C6" s="749">
        <f ca="1">ROUND(F6*F8*F7*(1-F9)/10000,0)</f>
        <v>13683</v>
      </c>
      <c r="D6" s="2144" t="s">
        <v>1806</v>
      </c>
      <c r="E6" s="750" t="s">
        <v>1267</v>
      </c>
      <c r="F6" s="751">
        <f ca="1">INDIRECT("'数据-取费表'!u"&amp;$G$1)</f>
        <v>1.5</v>
      </c>
      <c r="G6" s="1786"/>
      <c r="H6" s="2151" t="s">
        <v>1812</v>
      </c>
      <c r="I6" s="3936" t="s">
        <v>1807</v>
      </c>
      <c r="J6" s="749">
        <f ca="1">ROUND(M6*M8*M7*(1-M9)/10000,0)</f>
        <v>0</v>
      </c>
      <c r="K6" s="332" t="s">
        <v>1266</v>
      </c>
      <c r="L6" s="750" t="s">
        <v>1267</v>
      </c>
      <c r="M6" s="751">
        <f ca="1">INDIRECT("'数据-取费表'!z"&amp;$G$1)</f>
        <v>0</v>
      </c>
    </row>
    <row r="7" spans="1:33" ht="18" customHeight="1">
      <c r="A7" s="2147"/>
      <c r="B7" s="3937"/>
      <c r="C7" s="754"/>
      <c r="D7" s="755"/>
      <c r="E7" s="750" t="s">
        <v>1268</v>
      </c>
      <c r="F7" s="751">
        <f ca="1">IF(INDIRECT("'数据-取费表'!ah"&amp;$G$1)="",INDIRECT("'数据-取费表'!k"&amp;$G$1),INDIRECT("'数据-取费表'!ah"&amp;$G$1))</f>
        <v>294028.11</v>
      </c>
      <c r="G7" s="1786"/>
      <c r="H7" s="2136"/>
      <c r="I7" s="3937"/>
      <c r="J7" s="754"/>
      <c r="K7" s="755"/>
      <c r="L7" s="750" t="s">
        <v>1268</v>
      </c>
      <c r="M7" s="751">
        <f ca="1">F7</f>
        <v>294028.11</v>
      </c>
    </row>
    <row r="8" spans="1:33" ht="18" customHeight="1">
      <c r="A8" s="2140"/>
      <c r="B8" s="3938"/>
      <c r="C8" s="754"/>
      <c r="D8" s="755"/>
      <c r="E8" s="750" t="s">
        <v>1269</v>
      </c>
      <c r="F8" s="751">
        <f ca="1">INDIRECT("'数据-取费表'!ai"&amp;$G$1)</f>
        <v>365</v>
      </c>
      <c r="G8" s="1786"/>
      <c r="H8" s="2136"/>
      <c r="I8" s="3938"/>
      <c r="J8" s="754"/>
      <c r="K8" s="755"/>
      <c r="L8" s="750" t="s">
        <v>1269</v>
      </c>
      <c r="M8" s="751">
        <f ca="1">INDIRECT("'数据-取费表'!ai"&amp;$G$1)</f>
        <v>365</v>
      </c>
    </row>
    <row r="9" spans="1:33" ht="18" customHeight="1">
      <c r="A9" s="752"/>
      <c r="B9" s="3939"/>
      <c r="C9" s="754"/>
      <c r="D9" s="755"/>
      <c r="E9" s="750" t="s">
        <v>1270</v>
      </c>
      <c r="F9" s="760">
        <f ca="1">INDIRECT("'数据-取费表'!w"&amp;$G$1)</f>
        <v>0.15</v>
      </c>
      <c r="G9" s="1786"/>
      <c r="H9" s="2152"/>
      <c r="I9" s="393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17</v>
      </c>
      <c r="D10" s="2148" t="s">
        <v>2228</v>
      </c>
      <c r="E10" s="2145" t="s">
        <v>1808</v>
      </c>
      <c r="F10" s="2229" t="s">
        <v>3352</v>
      </c>
      <c r="G10" s="1786"/>
      <c r="H10" s="2179" t="s">
        <v>1813</v>
      </c>
      <c r="I10" s="2184" t="s">
        <v>1803</v>
      </c>
      <c r="J10" s="749">
        <f ca="1">ROUND(IF(M10="押一",J6/12*M11,IF(M10="押二",J6/12*2*M11,IF(M10="押三",J6/12*3*M11,J11*M11))),0)</f>
        <v>0</v>
      </c>
      <c r="K10" s="2148" t="s">
        <v>2228</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96160</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67626</v>
      </c>
      <c r="D14" s="1734" t="s">
        <v>1274</v>
      </c>
      <c r="E14" s="1735"/>
      <c r="F14" s="771"/>
      <c r="G14" s="1786"/>
      <c r="H14" s="1454" t="s">
        <v>1359</v>
      </c>
      <c r="I14" s="1950" t="s">
        <v>2103</v>
      </c>
      <c r="J14" s="51">
        <f ca="1">C29</f>
        <v>96160</v>
      </c>
      <c r="K14" s="24"/>
      <c r="L14" s="767"/>
      <c r="M14" s="768"/>
    </row>
    <row r="15" spans="1:33" s="1788" customFormat="1" ht="18" customHeight="1" thickBot="1">
      <c r="A15" s="1453" t="s">
        <v>1410</v>
      </c>
      <c r="B15" s="750" t="s">
        <v>595</v>
      </c>
      <c r="C15" s="51">
        <f ca="1">ROUND(C14*F15,0)</f>
        <v>2029</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987</v>
      </c>
      <c r="K16" s="1608" t="s">
        <v>1279</v>
      </c>
      <c r="L16" s="2133"/>
      <c r="M16" s="2138"/>
    </row>
    <row r="17" spans="1:33" s="1788" customFormat="1" ht="18" customHeight="1">
      <c r="A17" s="1453" t="s">
        <v>1412</v>
      </c>
      <c r="B17" s="750" t="s">
        <v>601</v>
      </c>
      <c r="C17" s="51">
        <f ca="1">ROUND(F17*(F43+INDIRECT("'数据-取费表'!S"&amp;$G$1))/10000,0)</f>
        <v>4410</v>
      </c>
      <c r="D17" s="750" t="s">
        <v>1280</v>
      </c>
      <c r="E17" s="750" t="s">
        <v>1281</v>
      </c>
      <c r="F17" s="54">
        <f>'数据-取费表'!B35</f>
        <v>150</v>
      </c>
      <c r="G17" s="3003"/>
      <c r="H17" s="1454" t="s">
        <v>1359</v>
      </c>
      <c r="I17" s="750" t="s">
        <v>604</v>
      </c>
      <c r="J17" s="2762">
        <f ca="1">ROUND(IF(AND(项目基本情况!B11="自然人",项目基本情况!B10="北京市"),J6*M17/(1+'数据-取费表'!C42),J18+J19+J20),2)</f>
        <v>25.57</v>
      </c>
      <c r="K17" s="2132" t="s">
        <v>1282</v>
      </c>
      <c r="L17" s="2131" t="s">
        <v>1283</v>
      </c>
      <c r="M17" s="2761">
        <f ca="1">IF(项目基本情况!B11="企业","——",IF('数据-取费表'!B10="住宅",IF(M6*M7*M8/12/(1+'数据-取费表'!F30)&gt;100000,4%,2.5%),IF(M6*M7*M8/12/(1+'数据-取费表'!F30)&gt;100000,12%,7%)))</f>
        <v>7.0000000000000007E-2</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1014</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75079</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1126</v>
      </c>
      <c r="D20" s="777" t="s">
        <v>1288</v>
      </c>
      <c r="E20" s="750" t="s">
        <v>1276</v>
      </c>
      <c r="F20" s="775">
        <f>'数据-取费表'!B37</f>
        <v>1.4999999999999999E-2</v>
      </c>
      <c r="G20" s="3003"/>
      <c r="H20" s="1456" t="s">
        <v>1405</v>
      </c>
      <c r="I20" s="332" t="s">
        <v>1289</v>
      </c>
      <c r="J20" s="52">
        <f ca="1">ROUND(M20*M21/10000,2)</f>
        <v>25.57</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85225.54</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961.6</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4968</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4.2999999999999997E-2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-987</v>
      </c>
      <c r="K25" s="2166" t="s">
        <v>1306</v>
      </c>
      <c r="L25" s="2167"/>
      <c r="M25" s="2168"/>
    </row>
    <row r="26" spans="1:33" ht="18" customHeight="1">
      <c r="A26" s="1453" t="s">
        <v>1360</v>
      </c>
      <c r="B26" s="750" t="s">
        <v>1785</v>
      </c>
      <c r="C26" s="51">
        <f ca="1">ROUND((C19+C20)*F26,0)</f>
        <v>7621</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96160</v>
      </c>
      <c r="D29" s="2163"/>
      <c r="E29" s="2164"/>
      <c r="F29" s="2165"/>
      <c r="G29" s="3003"/>
      <c r="H29" s="788" t="s">
        <v>1316</v>
      </c>
      <c r="I29" s="789" t="s">
        <v>1317</v>
      </c>
      <c r="J29" s="790">
        <f ca="1">ROUND(J26/(1+F40)^F41,0)</f>
        <v>0</v>
      </c>
      <c r="K29" s="791" t="s">
        <v>1318</v>
      </c>
      <c r="L29" s="792"/>
      <c r="M29" s="793">
        <f ca="1">INDIRECT("'数据-取费表'!k"&amp;$G$1)</f>
        <v>294028.11</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3562</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2319.1</v>
      </c>
      <c r="D31" s="1734" t="s">
        <v>1321</v>
      </c>
      <c r="E31" s="1732" t="s">
        <v>1322</v>
      </c>
      <c r="F31" s="2761">
        <f ca="1">IF(项目基本情况!B11="企业","——",IF(M47="住宅",IF(F6*F7*F8/12/(1+'数据-取费表'!F30)&gt;100000,4%,2.5%),IF(F6*F7*F8/12/(1+'数据-取费表'!F30)&gt;100000,12%,7%)))</f>
        <v>0.12</v>
      </c>
      <c r="G31" s="1786"/>
      <c r="H31" s="3000" t="s">
        <v>2280</v>
      </c>
      <c r="I31" s="1790"/>
      <c r="J31" s="1791"/>
      <c r="K31" s="1792"/>
      <c r="L31" s="1793"/>
      <c r="M31" s="1794"/>
    </row>
    <row r="32" spans="1:33" ht="18" customHeight="1">
      <c r="A32" s="1453" t="s">
        <v>1360</v>
      </c>
      <c r="B32" s="750" t="s">
        <v>1323</v>
      </c>
      <c r="C32" s="51">
        <f ca="1">ROUND(C6*F32/(1+'数据-取费表'!C42),2)</f>
        <v>729.76</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1563.77</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25.57</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85225.54</v>
      </c>
      <c r="G35" s="1786"/>
      <c r="H35" s="1789"/>
      <c r="I35" s="802" t="s">
        <v>1343</v>
      </c>
      <c r="J35" s="803">
        <f ca="1">ROUND(C13*J36,0)</f>
        <v>7693</v>
      </c>
      <c r="K35" s="1802"/>
      <c r="L35" s="1801"/>
      <c r="M35" s="1801"/>
    </row>
    <row r="36" spans="1:18" ht="18" customHeight="1">
      <c r="A36" s="1454" t="s">
        <v>1414</v>
      </c>
      <c r="B36" s="750" t="s">
        <v>1331</v>
      </c>
      <c r="C36" s="51">
        <f ca="1">ROUND(C29*F36,2)</f>
        <v>961.6</v>
      </c>
      <c r="D36" s="1732" t="s">
        <v>1332</v>
      </c>
      <c r="E36" s="750" t="s">
        <v>1325</v>
      </c>
      <c r="F36" s="782">
        <f ca="1">INDIRECT("'数据-取费表'!Ak"&amp;$G$1)</f>
        <v>0.01</v>
      </c>
      <c r="G36" s="1786"/>
      <c r="H36" s="1801"/>
      <c r="I36" s="804" t="s">
        <v>1344</v>
      </c>
      <c r="J36" s="805">
        <f ca="1">INDIRECT("'数据-取费表'!j"&amp;$G$1)</f>
        <v>0.08</v>
      </c>
      <c r="K36" s="1805"/>
      <c r="L36" s="1801"/>
      <c r="M36" s="1801"/>
    </row>
    <row r="37" spans="1:18" ht="18" customHeight="1">
      <c r="A37" s="1454" t="s">
        <v>1415</v>
      </c>
      <c r="B37" s="750" t="s">
        <v>626</v>
      </c>
      <c r="C37" s="51">
        <f ca="1">ROUND(C13*F37,2)</f>
        <v>144.24</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137</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10138</v>
      </c>
      <c r="D39" s="2166" t="s">
        <v>1335</v>
      </c>
      <c r="E39" s="2167"/>
      <c r="F39" s="2168"/>
      <c r="G39" s="1786"/>
      <c r="H39" s="1801"/>
      <c r="I39" s="802" t="s">
        <v>1347</v>
      </c>
      <c r="J39" s="810">
        <f ca="1">ROUND(J35/C39,3)</f>
        <v>0.75900000000000001</v>
      </c>
      <c r="K39" s="1806"/>
      <c r="L39" s="1801"/>
      <c r="M39" s="1801"/>
    </row>
    <row r="40" spans="1:18" ht="18" customHeight="1">
      <c r="A40" s="747" t="s">
        <v>1420</v>
      </c>
      <c r="B40" s="1951" t="s">
        <v>1658</v>
      </c>
      <c r="C40" s="749">
        <f ca="1">ROUND(C39*(1-((1+F42)/(1+F40))^F41)/(F40-F42),0)</f>
        <v>186347</v>
      </c>
      <c r="D40" s="779" t="s">
        <v>1336</v>
      </c>
      <c r="E40" s="750" t="s">
        <v>1773</v>
      </c>
      <c r="F40" s="760">
        <f ca="1">INDIRECT("'数据-取费表'!I"&amp;$G$1)</f>
        <v>5.5E-2</v>
      </c>
      <c r="G40" s="1786"/>
      <c r="H40" s="1786"/>
      <c r="I40" s="802" t="s">
        <v>1348</v>
      </c>
      <c r="J40" s="810">
        <f ca="1">1-J39</f>
        <v>0.24099999999999999</v>
      </c>
      <c r="K40" s="1806"/>
      <c r="L40" s="1786"/>
      <c r="M40" s="1786"/>
    </row>
    <row r="41" spans="1:18" ht="18" customHeight="1">
      <c r="A41" s="752"/>
      <c r="B41" s="753"/>
      <c r="C41" s="754"/>
      <c r="D41" s="786" t="s">
        <v>1337</v>
      </c>
      <c r="E41" s="750" t="s">
        <v>2220</v>
      </c>
      <c r="F41" s="787">
        <f ca="1">IF(INDIRECT("'数据-取费表'!af"&amp;$G$1)=0,INDIRECT("'数据-取费表'!ae"&amp;$G$1),INDIRECT("'数据-取费表'!af"&amp;$G$1))</f>
        <v>27.79</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0.51600000000000001</v>
      </c>
      <c r="K42" s="1805"/>
      <c r="L42" s="1741"/>
      <c r="M42" s="1741"/>
    </row>
    <row r="43" spans="1:18" ht="18" customHeight="1" thickBot="1">
      <c r="A43" s="788" t="s">
        <v>1316</v>
      </c>
      <c r="B43" s="789" t="s">
        <v>1339</v>
      </c>
      <c r="C43" s="790">
        <f ca="1">ROUND(C40*10000/F43,0)</f>
        <v>6338</v>
      </c>
      <c r="D43" s="791" t="s">
        <v>1340</v>
      </c>
      <c r="E43" s="792" t="s">
        <v>1341</v>
      </c>
      <c r="F43" s="793">
        <f ca="1">INDIRECT("'数据-取费表'!k"&amp;$G$1)</f>
        <v>294028.11</v>
      </c>
      <c r="G43" s="1786"/>
      <c r="H43" s="1741"/>
      <c r="I43" s="812" t="s">
        <v>1351</v>
      </c>
      <c r="J43" s="813">
        <f ca="1">1-J42</f>
        <v>0.48399999999999999</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-202266</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3353</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30.79</v>
      </c>
      <c r="M48" s="3005"/>
      <c r="O48" s="2090" t="s">
        <v>1733</v>
      </c>
      <c r="P48" s="2091" t="s">
        <v>1759</v>
      </c>
      <c r="Q48" s="2092">
        <f ca="1">C40+J29</f>
        <v>186347</v>
      </c>
      <c r="R48" s="2091" t="s">
        <v>1734</v>
      </c>
    </row>
    <row r="49" spans="1:18" s="1783" customFormat="1" ht="18" customHeight="1" thickBot="1">
      <c r="A49" s="752"/>
      <c r="B49" s="753"/>
      <c r="C49" s="754"/>
      <c r="D49" s="755"/>
      <c r="E49" s="750" t="s">
        <v>1268</v>
      </c>
      <c r="F49" s="751">
        <f ca="1">F7</f>
        <v>294028.11</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96160</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46411</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2229</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2232</v>
      </c>
      <c r="J53" s="2611">
        <f ca="1">IF(M47="住宅",IF(D1="——",MAX(J51,L48),MAX(J51,L48-'数据-取费表'!B20)),IF(D1="——",MIN(J51,L48),MIN(J51,L48-'数据-取费表'!B20)))</f>
        <v>27.79</v>
      </c>
      <c r="K53" s="3942" t="s">
        <v>2222</v>
      </c>
      <c r="L53" s="3943"/>
      <c r="M53" s="3005"/>
      <c r="O53" s="2093" t="s">
        <v>1742</v>
      </c>
      <c r="P53" s="2091" t="s">
        <v>1743</v>
      </c>
      <c r="Q53" s="2092">
        <f ca="1">J53</f>
        <v>27.79</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186347</v>
      </c>
      <c r="R54" s="2095" t="s">
        <v>1746</v>
      </c>
    </row>
    <row r="55" spans="1:18" s="1783" customFormat="1" ht="18" customHeight="1" thickTop="1" thickBot="1">
      <c r="A55" s="763">
        <v>2</v>
      </c>
      <c r="B55" s="764" t="s">
        <v>592</v>
      </c>
      <c r="C55" s="765">
        <f ca="1">C13</f>
        <v>96160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96160</v>
      </c>
      <c r="D56" s="2245"/>
      <c r="E56" s="750"/>
      <c r="F56" s="775"/>
      <c r="I56" s="2573" t="s">
        <v>1711</v>
      </c>
      <c r="J56" s="2583" t="s">
        <v>3262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1131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186347</v>
      </c>
      <c r="R57" s="2091" t="s">
        <v>1734</v>
      </c>
    </row>
    <row r="58" spans="1:18" s="1783" customFormat="1" ht="28.5" customHeight="1" thickBot="1">
      <c r="A58" s="1454" t="s">
        <v>1353</v>
      </c>
      <c r="B58" s="750" t="s">
        <v>604</v>
      </c>
      <c r="C58" s="2762">
        <f ca="1">ROUND(IF(AND(项目基本情况!B11="自然人",项目基本情况!B10="北京市"),C48*F58/(1+'数据-取费表'!C42),C59+C60+C61),2)</f>
        <v>25.57</v>
      </c>
      <c r="D58" s="2244" t="s">
        <v>605</v>
      </c>
      <c r="E58" s="2245" t="s">
        <v>637</v>
      </c>
      <c r="F58" s="2761">
        <f ca="1">IF(项目基本情况!B11="企业","——",IF('数据-取费表'!B10="住宅",IF(F48*F49*F50/12/(1+'数据-取费表'!F30)&gt;100000,4%,2.5%),IF(F48*F49*F50/12/(1+'数据-取费表'!F30)&gt;100000,12%,7%)))</f>
        <v>7.0000000000000007E-2</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25.57</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85225.54</v>
      </c>
      <c r="I62" s="2579" t="s">
        <v>1721</v>
      </c>
      <c r="J62" s="2580" t="s">
        <v>1722</v>
      </c>
      <c r="K62" s="2580" t="s">
        <v>1723</v>
      </c>
      <c r="L62" s="2580" t="s">
        <v>1704</v>
      </c>
      <c r="M62" s="2581" t="s">
        <v>2201</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961.6</v>
      </c>
      <c r="D63" s="2245" t="s">
        <v>1332</v>
      </c>
      <c r="E63" s="750" t="s">
        <v>1276</v>
      </c>
      <c r="F63" s="782">
        <f t="shared" ca="1" si="0"/>
        <v>0.01</v>
      </c>
      <c r="I63" s="2579" t="s">
        <v>1724</v>
      </c>
      <c r="J63" s="2580">
        <v>70</v>
      </c>
      <c r="K63" s="2580">
        <v>50</v>
      </c>
      <c r="L63" s="2580">
        <v>80</v>
      </c>
      <c r="M63" s="2582">
        <v>0.02</v>
      </c>
      <c r="O63" s="2090" t="s">
        <v>1745</v>
      </c>
      <c r="P63" s="2091" t="s">
        <v>1762</v>
      </c>
      <c r="Q63" s="2092">
        <f ca="1">Q57+Q58</f>
        <v>186347</v>
      </c>
      <c r="R63" s="2095" t="s">
        <v>1746</v>
      </c>
    </row>
    <row r="64" spans="1:18" s="1783" customFormat="1" ht="16.5" thickBot="1">
      <c r="A64" s="1454" t="s">
        <v>1415</v>
      </c>
      <c r="B64" s="750" t="s">
        <v>626</v>
      </c>
      <c r="C64" s="51">
        <f ca="1">ROUND(C55*F64,2)</f>
        <v>144.24</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-1131</v>
      </c>
      <c r="D66" s="2244" t="s">
        <v>647</v>
      </c>
      <c r="E66" s="2243"/>
      <c r="F66" s="785"/>
      <c r="K66" s="1809"/>
      <c r="O66" s="2090" t="s">
        <v>1733</v>
      </c>
      <c r="P66" s="2091" t="s">
        <v>1763</v>
      </c>
      <c r="Q66" s="2092">
        <f ca="1">C40+J29</f>
        <v>186347</v>
      </c>
      <c r="R66" s="2091" t="s">
        <v>1734</v>
      </c>
    </row>
    <row r="67" spans="1:18" s="1783" customFormat="1" ht="20.25" thickBot="1">
      <c r="A67" s="747" t="s">
        <v>1309</v>
      </c>
      <c r="B67" s="1951" t="s">
        <v>1658</v>
      </c>
      <c r="C67" s="749">
        <f ca="1">ROUND(C66*(1-((1+F69)/(1+F67))^F68)/(F67-F69),0)</f>
        <v>-15919</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27.79</v>
      </c>
      <c r="O68" s="2093" t="s">
        <v>1737</v>
      </c>
      <c r="P68" s="2091" t="s">
        <v>1767</v>
      </c>
      <c r="Q68" s="2097">
        <f ca="1">L51</f>
        <v>46411</v>
      </c>
      <c r="R68" s="2098" t="s">
        <v>1770</v>
      </c>
    </row>
    <row r="69" spans="1:18" ht="20.25" thickBot="1">
      <c r="A69" s="756"/>
      <c r="B69" s="757"/>
      <c r="C69" s="758"/>
      <c r="D69" s="781"/>
      <c r="E69" s="750" t="s">
        <v>657</v>
      </c>
      <c r="F69" s="2065"/>
      <c r="O69" s="2093" t="s">
        <v>1738</v>
      </c>
      <c r="P69" s="2099" t="s">
        <v>1752</v>
      </c>
      <c r="Q69" s="2092">
        <f ca="1">ROUND(Q70-Q71*Q72,0)</f>
        <v>2445</v>
      </c>
      <c r="R69" s="2095"/>
    </row>
    <row r="70" spans="1:18" ht="15.75" thickBot="1">
      <c r="A70" s="788" t="s">
        <v>1316</v>
      </c>
      <c r="B70" s="789" t="s">
        <v>1339</v>
      </c>
      <c r="C70" s="790">
        <f ca="1">ROUND(C67*10000/F70,0)</f>
        <v>-541</v>
      </c>
      <c r="D70" s="791" t="s">
        <v>1340</v>
      </c>
      <c r="E70" s="792" t="s">
        <v>1341</v>
      </c>
      <c r="F70" s="793">
        <f ca="1">F43</f>
        <v>294028.11</v>
      </c>
      <c r="O70" s="2093" t="s">
        <v>1753</v>
      </c>
      <c r="P70" s="2099" t="s">
        <v>1754</v>
      </c>
      <c r="Q70" s="2092">
        <f ca="1">C39</f>
        <v>10138</v>
      </c>
      <c r="R70" s="2091" t="s">
        <v>1734</v>
      </c>
    </row>
    <row r="71" spans="1:18" ht="15.75" thickBot="1">
      <c r="O71" s="2093" t="s">
        <v>1755</v>
      </c>
      <c r="P71" s="2099" t="s">
        <v>1756</v>
      </c>
      <c r="Q71" s="2092">
        <f ca="1">C13</f>
        <v>96160</v>
      </c>
      <c r="R71" s="2091" t="s">
        <v>1734</v>
      </c>
    </row>
    <row r="72" spans="1:18" ht="15.75" thickBot="1">
      <c r="O72" s="2093" t="s">
        <v>1757</v>
      </c>
      <c r="P72" s="2099" t="s">
        <v>1758</v>
      </c>
      <c r="Q72" s="2094">
        <f ca="1">J36</f>
        <v>0.08</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186347</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topLeftCell="T1" workbookViewId="0">
      <selection activeCell="Z29" sqref="Z29"/>
    </sheetView>
  </sheetViews>
  <sheetFormatPr defaultRowHeight="13.5"/>
  <cols>
    <col min="1" max="1" width="32.125" style="3981" customWidth="1"/>
    <col min="2" max="11" width="9" style="3981"/>
    <col min="12" max="12" width="23.375" style="3981" customWidth="1"/>
    <col min="13" max="16384" width="9" style="3981"/>
  </cols>
  <sheetData>
    <row r="1" spans="1:247">
      <c r="A1" s="3980" t="s">
        <v>3264</v>
      </c>
      <c r="B1" s="3980" t="s">
        <v>3265</v>
      </c>
      <c r="C1" s="3980" t="s">
        <v>3266</v>
      </c>
      <c r="D1" s="3980" t="s">
        <v>3267</v>
      </c>
      <c r="E1" s="3980" t="s">
        <v>3268</v>
      </c>
      <c r="F1" s="3980" t="s">
        <v>3269</v>
      </c>
      <c r="G1" s="3980" t="s">
        <v>3270</v>
      </c>
      <c r="H1" s="3980" t="s">
        <v>3271</v>
      </c>
      <c r="I1" s="3980" t="s">
        <v>3272</v>
      </c>
      <c r="J1" s="3980" t="s">
        <v>3273</v>
      </c>
      <c r="K1" s="3980" t="s">
        <v>3274</v>
      </c>
      <c r="L1" s="3980" t="s">
        <v>1550</v>
      </c>
      <c r="M1" s="3980" t="s">
        <v>3275</v>
      </c>
      <c r="N1" s="3980" t="s">
        <v>3276</v>
      </c>
      <c r="O1" s="3980" t="s">
        <v>3277</v>
      </c>
      <c r="P1" s="3980" t="s">
        <v>3278</v>
      </c>
      <c r="Q1" s="3980" t="s">
        <v>3279</v>
      </c>
      <c r="R1" s="3980" t="s">
        <v>3280</v>
      </c>
      <c r="S1" s="3980" t="s">
        <v>3281</v>
      </c>
      <c r="T1" s="3980" t="s">
        <v>3282</v>
      </c>
      <c r="U1" s="3980" t="s">
        <v>3283</v>
      </c>
      <c r="V1" s="3980" t="s">
        <v>3284</v>
      </c>
      <c r="W1" s="3980" t="s">
        <v>3285</v>
      </c>
      <c r="X1" s="3980" t="s">
        <v>3286</v>
      </c>
      <c r="Y1" s="3980" t="s">
        <v>3287</v>
      </c>
      <c r="Z1" s="3980" t="s">
        <v>3288</v>
      </c>
      <c r="AA1" s="3980" t="s">
        <v>3289</v>
      </c>
      <c r="AB1" s="3980" t="s">
        <v>3290</v>
      </c>
      <c r="AC1" s="3980" t="s">
        <v>3291</v>
      </c>
      <c r="AD1" s="3980" t="s">
        <v>3292</v>
      </c>
      <c r="AE1" s="3980" t="s">
        <v>3293</v>
      </c>
      <c r="AF1" s="3980" t="s">
        <v>3294</v>
      </c>
      <c r="AG1" s="3980" t="s">
        <v>3295</v>
      </c>
      <c r="AH1" s="3980" t="s">
        <v>3296</v>
      </c>
      <c r="AI1" s="3980" t="s">
        <v>3297</v>
      </c>
      <c r="AJ1" s="3980" t="s">
        <v>3298</v>
      </c>
      <c r="AK1" s="3980" t="s">
        <v>3299</v>
      </c>
      <c r="AL1" s="3980"/>
      <c r="AM1" s="3980"/>
      <c r="AN1" s="3980"/>
      <c r="AO1" s="3980"/>
      <c r="AP1" s="3980"/>
      <c r="AQ1" s="3980"/>
      <c r="AR1" s="3980"/>
      <c r="AS1" s="3980"/>
      <c r="AT1" s="3980"/>
      <c r="AU1" s="3980"/>
      <c r="AV1" s="3980"/>
      <c r="AW1" s="3980"/>
      <c r="AX1" s="3980"/>
      <c r="AY1" s="3980"/>
      <c r="AZ1" s="3980"/>
      <c r="BA1" s="3980"/>
      <c r="BB1" s="3980"/>
      <c r="BC1" s="3980"/>
      <c r="BD1" s="3980"/>
      <c r="BE1" s="3980"/>
      <c r="BF1" s="3980"/>
      <c r="BG1" s="3980"/>
      <c r="BH1" s="3980"/>
      <c r="BI1" s="3980"/>
      <c r="BJ1" s="3980"/>
      <c r="BK1" s="3980"/>
      <c r="BL1" s="3980"/>
      <c r="BM1" s="3980"/>
      <c r="BN1" s="3980"/>
      <c r="BO1" s="3980"/>
      <c r="BP1" s="3980"/>
      <c r="BQ1" s="3980"/>
      <c r="BR1" s="3980"/>
      <c r="BS1" s="3980"/>
      <c r="BT1" s="3980"/>
      <c r="BU1" s="3980"/>
      <c r="BV1" s="3980"/>
      <c r="BW1" s="3980"/>
      <c r="BX1" s="3980"/>
      <c r="BY1" s="3980"/>
      <c r="BZ1" s="3980"/>
      <c r="CA1" s="3980"/>
      <c r="CB1" s="3980"/>
      <c r="CC1" s="3980"/>
      <c r="CD1" s="3980"/>
      <c r="CE1" s="3980"/>
      <c r="CF1" s="3980"/>
      <c r="CG1" s="3980"/>
      <c r="CH1" s="3980"/>
      <c r="CI1" s="3980"/>
      <c r="CJ1" s="3980"/>
      <c r="CK1" s="3980"/>
      <c r="CL1" s="3980"/>
      <c r="CM1" s="3980"/>
      <c r="CN1" s="3980"/>
      <c r="CO1" s="3980"/>
      <c r="CP1" s="3980"/>
      <c r="CQ1" s="3980"/>
      <c r="CR1" s="3980"/>
      <c r="CS1" s="3980"/>
      <c r="CT1" s="3980"/>
      <c r="CU1" s="3980"/>
      <c r="CV1" s="3980"/>
      <c r="CW1" s="3980"/>
      <c r="CX1" s="3980"/>
      <c r="CY1" s="3980"/>
      <c r="CZ1" s="3980"/>
      <c r="DA1" s="3980"/>
      <c r="DB1" s="3980"/>
      <c r="DC1" s="3980"/>
      <c r="DD1" s="3980"/>
      <c r="DE1" s="3980"/>
      <c r="DF1" s="3980"/>
      <c r="DG1" s="3980"/>
      <c r="DH1" s="3980"/>
      <c r="DI1" s="3980"/>
      <c r="DJ1" s="3980"/>
      <c r="DK1" s="3980"/>
      <c r="DL1" s="3980"/>
      <c r="DM1" s="3980"/>
      <c r="DN1" s="3980"/>
      <c r="DO1" s="3980"/>
      <c r="DP1" s="3980"/>
      <c r="DQ1" s="3980"/>
      <c r="DR1" s="3980"/>
      <c r="DS1" s="3980"/>
      <c r="DT1" s="3980"/>
      <c r="DU1" s="3980"/>
      <c r="DV1" s="3980"/>
      <c r="DW1" s="3980"/>
      <c r="DX1" s="3980"/>
      <c r="DY1" s="3980"/>
      <c r="DZ1" s="3980"/>
      <c r="EA1" s="3980"/>
      <c r="EB1" s="3980"/>
      <c r="EC1" s="3980"/>
      <c r="ED1" s="3980"/>
      <c r="EE1" s="3980"/>
      <c r="EF1" s="3980"/>
      <c r="EG1" s="3980"/>
      <c r="EH1" s="3980"/>
      <c r="EI1" s="3980"/>
      <c r="EJ1" s="3980"/>
      <c r="EK1" s="3980"/>
      <c r="EL1" s="3980"/>
      <c r="EM1" s="3980"/>
      <c r="EN1" s="3980"/>
      <c r="EO1" s="3980"/>
      <c r="EP1" s="3980"/>
      <c r="EQ1" s="3980"/>
      <c r="ER1" s="3980"/>
      <c r="ES1" s="3980"/>
      <c r="ET1" s="3980"/>
      <c r="EU1" s="3980"/>
      <c r="EV1" s="3980"/>
      <c r="EW1" s="3980"/>
      <c r="EX1" s="3980"/>
      <c r="EY1" s="3980"/>
      <c r="EZ1" s="3980"/>
      <c r="FA1" s="3980"/>
      <c r="FB1" s="3980"/>
      <c r="FC1" s="3980"/>
      <c r="FD1" s="3980"/>
      <c r="FE1" s="3980"/>
      <c r="FF1" s="3980"/>
      <c r="FG1" s="3980"/>
      <c r="FH1" s="3980"/>
      <c r="FI1" s="3980"/>
      <c r="FJ1" s="3980"/>
      <c r="FK1" s="3980"/>
      <c r="FL1" s="3980"/>
      <c r="FM1" s="3980"/>
      <c r="FN1" s="3980"/>
      <c r="FO1" s="3980"/>
      <c r="FP1" s="3980"/>
      <c r="FQ1" s="3980"/>
      <c r="FR1" s="3980"/>
      <c r="FS1" s="3980"/>
      <c r="FT1" s="3980"/>
      <c r="FU1" s="3980"/>
      <c r="FV1" s="3980"/>
      <c r="FW1" s="3980"/>
      <c r="FX1" s="3980"/>
      <c r="FY1" s="3980"/>
      <c r="FZ1" s="3980"/>
      <c r="GA1" s="3980"/>
      <c r="GB1" s="3980"/>
      <c r="GC1" s="3980"/>
      <c r="GD1" s="3980"/>
      <c r="GE1" s="3980"/>
      <c r="GF1" s="3980"/>
      <c r="GG1" s="3980"/>
      <c r="GH1" s="3980"/>
      <c r="GI1" s="3980"/>
      <c r="GJ1" s="3980"/>
      <c r="GK1" s="3980"/>
      <c r="GL1" s="3980"/>
      <c r="GM1" s="3980"/>
      <c r="GN1" s="3980"/>
      <c r="GO1" s="3980"/>
      <c r="GP1" s="3980"/>
      <c r="GQ1" s="3980"/>
      <c r="GR1" s="3980"/>
      <c r="GS1" s="3980"/>
      <c r="GT1" s="3980"/>
      <c r="GU1" s="3980"/>
      <c r="GV1" s="3980"/>
      <c r="GW1" s="3980"/>
      <c r="GX1" s="3980"/>
      <c r="GY1" s="3980"/>
      <c r="GZ1" s="3980"/>
      <c r="HA1" s="3980"/>
      <c r="HB1" s="3980"/>
      <c r="HC1" s="3980"/>
      <c r="HD1" s="3980"/>
      <c r="HE1" s="3980"/>
      <c r="HF1" s="3980"/>
      <c r="HG1" s="3980"/>
      <c r="HH1" s="3980"/>
      <c r="HI1" s="3980"/>
      <c r="HJ1" s="3980"/>
      <c r="HK1" s="3980"/>
      <c r="HL1" s="3980"/>
      <c r="HM1" s="3980"/>
      <c r="HN1" s="3980"/>
      <c r="HO1" s="3980"/>
      <c r="HP1" s="3980"/>
      <c r="HQ1" s="3980"/>
      <c r="HR1" s="3980"/>
      <c r="HS1" s="3980"/>
      <c r="HT1" s="3980"/>
      <c r="HU1" s="3980"/>
      <c r="HV1" s="3980"/>
      <c r="HW1" s="3980"/>
      <c r="HX1" s="3980"/>
      <c r="HY1" s="3980"/>
      <c r="HZ1" s="3980"/>
      <c r="IA1" s="3980"/>
      <c r="IB1" s="3980"/>
      <c r="IC1" s="3980"/>
      <c r="ID1" s="3980"/>
      <c r="IE1" s="3980"/>
      <c r="IF1" s="3980"/>
      <c r="IG1" s="3980"/>
      <c r="IH1" s="3980"/>
      <c r="II1" s="3980"/>
      <c r="IJ1" s="3980"/>
      <c r="IK1" s="3980"/>
      <c r="IL1" s="3980"/>
      <c r="IM1" s="3980"/>
    </row>
    <row r="2" spans="1:247">
      <c r="A2" s="3980" t="s">
        <v>3300</v>
      </c>
      <c r="B2" s="3980" t="s">
        <v>3301</v>
      </c>
      <c r="C2" s="3980" t="s">
        <v>3302</v>
      </c>
      <c r="D2" s="3980" t="s">
        <v>3303</v>
      </c>
      <c r="E2" s="3982" t="s">
        <v>3304</v>
      </c>
      <c r="F2" s="3980" t="s">
        <v>3300</v>
      </c>
      <c r="G2" s="3980" t="s">
        <v>3305</v>
      </c>
      <c r="H2" s="3980" t="s">
        <v>3306</v>
      </c>
      <c r="I2" s="3980" t="s">
        <v>3307</v>
      </c>
      <c r="J2" s="3980">
        <v>43392</v>
      </c>
      <c r="K2" s="3980">
        <v>65088</v>
      </c>
      <c r="L2" s="3980" t="s">
        <v>3308</v>
      </c>
      <c r="M2" s="3980" t="s">
        <v>2095</v>
      </c>
      <c r="N2" s="3980" t="s">
        <v>3309</v>
      </c>
      <c r="O2" s="3980" t="s">
        <v>3310</v>
      </c>
      <c r="P2" s="3980" t="s">
        <v>3311</v>
      </c>
      <c r="Q2" s="3980" t="s">
        <v>3312</v>
      </c>
      <c r="R2" s="3980" t="s">
        <v>3313</v>
      </c>
      <c r="S2" s="3980" t="s">
        <v>3313</v>
      </c>
      <c r="T2" s="3980" t="s">
        <v>3314</v>
      </c>
      <c r="U2" s="3980" t="s">
        <v>3315</v>
      </c>
      <c r="V2" s="3980" t="s">
        <v>3316</v>
      </c>
      <c r="W2" s="3980">
        <v>5540</v>
      </c>
      <c r="X2" s="3980">
        <v>5540</v>
      </c>
      <c r="Y2" s="3980">
        <v>5540</v>
      </c>
      <c r="Z2" s="3980">
        <v>85.12</v>
      </c>
      <c r="AA2" s="3980">
        <v>85.12</v>
      </c>
      <c r="AB2" s="3980">
        <v>851.15</v>
      </c>
      <c r="AC2" s="3980">
        <v>851.15</v>
      </c>
      <c r="AD2" s="3980" t="s">
        <v>2095</v>
      </c>
      <c r="AE2" s="3980" t="s">
        <v>2095</v>
      </c>
      <c r="AF2" s="3980">
        <v>0</v>
      </c>
      <c r="AG2" s="3980" t="s">
        <v>3317</v>
      </c>
      <c r="AH2" s="3980" t="s">
        <v>2095</v>
      </c>
      <c r="AI2" s="3980" t="s">
        <v>2095</v>
      </c>
      <c r="AJ2" s="3980" t="s">
        <v>2095</v>
      </c>
      <c r="AK2" s="3980" t="s">
        <v>3318</v>
      </c>
      <c r="AL2" s="3980"/>
      <c r="AM2" s="3980"/>
      <c r="AN2" s="3980"/>
      <c r="AO2" s="3980"/>
      <c r="AP2" s="3980"/>
      <c r="AQ2" s="3980"/>
      <c r="AR2" s="3980"/>
      <c r="AS2" s="3980"/>
      <c r="AT2" s="3980"/>
      <c r="AU2" s="3980"/>
      <c r="AV2" s="3980"/>
      <c r="AW2" s="3980"/>
      <c r="AX2" s="3980"/>
      <c r="AY2" s="3980"/>
      <c r="AZ2" s="3980"/>
      <c r="BA2" s="3980"/>
      <c r="BB2" s="3980"/>
      <c r="BC2" s="3980"/>
      <c r="BD2" s="3980"/>
      <c r="BE2" s="3980"/>
      <c r="BF2" s="3980"/>
      <c r="BG2" s="3980"/>
      <c r="BH2" s="3980"/>
      <c r="BI2" s="3980"/>
      <c r="BJ2" s="3980"/>
      <c r="BK2" s="3980"/>
      <c r="BL2" s="3980"/>
      <c r="BM2" s="3980"/>
      <c r="BN2" s="3980"/>
      <c r="BO2" s="3980"/>
      <c r="BP2" s="3980"/>
      <c r="BQ2" s="3980"/>
      <c r="BR2" s="3980"/>
      <c r="BS2" s="3980"/>
      <c r="BT2" s="3980"/>
      <c r="BU2" s="3980"/>
      <c r="BV2" s="3980"/>
      <c r="BW2" s="3980"/>
      <c r="BX2" s="3980"/>
      <c r="BY2" s="3980"/>
      <c r="BZ2" s="3980"/>
      <c r="CA2" s="3980"/>
      <c r="CB2" s="3980"/>
      <c r="CC2" s="3980"/>
      <c r="CD2" s="3980"/>
      <c r="CE2" s="3980"/>
      <c r="CF2" s="3980"/>
      <c r="CG2" s="3980"/>
      <c r="CH2" s="3980"/>
      <c r="CI2" s="3980"/>
      <c r="CJ2" s="3980"/>
      <c r="CK2" s="3980"/>
      <c r="CL2" s="3980"/>
      <c r="CM2" s="3980"/>
      <c r="CN2" s="3980"/>
      <c r="CO2" s="3980"/>
      <c r="CP2" s="3980"/>
      <c r="CQ2" s="3980"/>
      <c r="CR2" s="3980"/>
      <c r="CS2" s="3980"/>
      <c r="CT2" s="3980"/>
      <c r="CU2" s="3980"/>
      <c r="CV2" s="3980"/>
      <c r="CW2" s="3980"/>
      <c r="CX2" s="3980"/>
      <c r="CY2" s="3980"/>
      <c r="CZ2" s="3980"/>
      <c r="DA2" s="3980"/>
      <c r="DB2" s="3980"/>
      <c r="DC2" s="3980"/>
      <c r="DD2" s="3980"/>
      <c r="DE2" s="3980"/>
      <c r="DF2" s="3980"/>
      <c r="DG2" s="3980"/>
      <c r="DH2" s="3980"/>
      <c r="DI2" s="3980"/>
      <c r="DJ2" s="3980"/>
      <c r="DK2" s="3980"/>
      <c r="DL2" s="3980"/>
      <c r="DM2" s="3980"/>
      <c r="DN2" s="3980"/>
      <c r="DO2" s="3980"/>
      <c r="DP2" s="3980"/>
      <c r="DQ2" s="3980"/>
      <c r="DR2" s="3980"/>
      <c r="DS2" s="3980"/>
      <c r="DT2" s="3980"/>
      <c r="DU2" s="3980"/>
      <c r="DV2" s="3980"/>
      <c r="DW2" s="3980"/>
      <c r="DX2" s="3980"/>
      <c r="DY2" s="3980"/>
      <c r="DZ2" s="3980"/>
      <c r="EA2" s="3980"/>
      <c r="EB2" s="3980"/>
      <c r="EC2" s="3980"/>
      <c r="ED2" s="3980"/>
      <c r="EE2" s="3980"/>
      <c r="EF2" s="3980"/>
      <c r="EG2" s="3980"/>
      <c r="EH2" s="3980"/>
      <c r="EI2" s="3980"/>
      <c r="EJ2" s="3980"/>
      <c r="EK2" s="3980"/>
      <c r="EL2" s="3980"/>
      <c r="EM2" s="3980"/>
      <c r="EN2" s="3980"/>
      <c r="EO2" s="3980"/>
      <c r="EP2" s="3980"/>
      <c r="EQ2" s="3980"/>
      <c r="ER2" s="3980"/>
      <c r="ES2" s="3980"/>
      <c r="ET2" s="3980"/>
      <c r="EU2" s="3980"/>
      <c r="EV2" s="3980"/>
      <c r="EW2" s="3980"/>
      <c r="EX2" s="3980"/>
      <c r="EY2" s="3980"/>
      <c r="EZ2" s="3980"/>
      <c r="FA2" s="3980"/>
      <c r="FB2" s="3980"/>
      <c r="FC2" s="3980"/>
      <c r="FD2" s="3980"/>
      <c r="FE2" s="3980"/>
      <c r="FF2" s="3980"/>
      <c r="FG2" s="3980"/>
      <c r="FH2" s="3980"/>
      <c r="FI2" s="3980"/>
      <c r="FJ2" s="3980"/>
      <c r="FK2" s="3980"/>
      <c r="FL2" s="3980"/>
      <c r="FM2" s="3980"/>
      <c r="FN2" s="3980"/>
      <c r="FO2" s="3980"/>
      <c r="FP2" s="3980"/>
      <c r="FQ2" s="3980"/>
      <c r="FR2" s="3980"/>
      <c r="FS2" s="3980"/>
      <c r="FT2" s="3980"/>
      <c r="FU2" s="3980"/>
      <c r="FV2" s="3980"/>
      <c r="FW2" s="3980"/>
      <c r="FX2" s="3980"/>
      <c r="FY2" s="3980"/>
      <c r="FZ2" s="3980"/>
      <c r="GA2" s="3980"/>
      <c r="GB2" s="3980"/>
      <c r="GC2" s="3980"/>
      <c r="GD2" s="3980"/>
      <c r="GE2" s="3980"/>
      <c r="GF2" s="3980"/>
      <c r="GG2" s="3980"/>
      <c r="GH2" s="3980"/>
      <c r="GI2" s="3980"/>
      <c r="GJ2" s="3980"/>
      <c r="GK2" s="3980"/>
      <c r="GL2" s="3980"/>
      <c r="GM2" s="3980"/>
      <c r="GN2" s="3980"/>
      <c r="GO2" s="3980"/>
      <c r="GP2" s="3980"/>
      <c r="GQ2" s="3980"/>
      <c r="GR2" s="3980"/>
      <c r="GS2" s="3980"/>
      <c r="GT2" s="3980"/>
      <c r="GU2" s="3980"/>
      <c r="GV2" s="3980"/>
      <c r="GW2" s="3980"/>
      <c r="GX2" s="3980"/>
      <c r="GY2" s="3980"/>
      <c r="GZ2" s="3980"/>
      <c r="HA2" s="3980"/>
      <c r="HB2" s="3980"/>
      <c r="HC2" s="3980"/>
      <c r="HD2" s="3980"/>
      <c r="HE2" s="3980"/>
      <c r="HF2" s="3980"/>
      <c r="HG2" s="3980"/>
      <c r="HH2" s="3980"/>
      <c r="HI2" s="3980"/>
      <c r="HJ2" s="3980"/>
      <c r="HK2" s="3980"/>
      <c r="HL2" s="3980"/>
      <c r="HM2" s="3980"/>
      <c r="HN2" s="3980"/>
      <c r="HO2" s="3980"/>
      <c r="HP2" s="3980"/>
      <c r="HQ2" s="3980"/>
      <c r="HR2" s="3980"/>
      <c r="HS2" s="3980"/>
      <c r="HT2" s="3980"/>
      <c r="HU2" s="3980"/>
      <c r="HV2" s="3980"/>
      <c r="HW2" s="3980"/>
      <c r="HX2" s="3980"/>
      <c r="HY2" s="3980"/>
      <c r="HZ2" s="3980"/>
      <c r="IA2" s="3980"/>
      <c r="IB2" s="3980"/>
      <c r="IC2" s="3980"/>
      <c r="ID2" s="3980"/>
      <c r="IE2" s="3980"/>
      <c r="IF2" s="3980"/>
      <c r="IG2" s="3980"/>
      <c r="IH2" s="3980"/>
      <c r="II2" s="3980"/>
      <c r="IJ2" s="3980"/>
      <c r="IK2" s="3980"/>
      <c r="IL2" s="3980"/>
      <c r="IM2" s="3980"/>
    </row>
    <row r="3" spans="1:247">
      <c r="A3" s="3983" t="s">
        <v>3319</v>
      </c>
      <c r="B3" s="3980" t="s">
        <v>3301</v>
      </c>
      <c r="C3" s="3980" t="s">
        <v>3302</v>
      </c>
      <c r="D3" s="3980" t="s">
        <v>3303</v>
      </c>
      <c r="E3" s="3980" t="s">
        <v>3320</v>
      </c>
      <c r="F3" s="3980" t="s">
        <v>3321</v>
      </c>
      <c r="G3" s="3980" t="s">
        <v>3305</v>
      </c>
      <c r="H3" s="3980" t="s">
        <v>3322</v>
      </c>
      <c r="I3" s="3980" t="s">
        <v>3323</v>
      </c>
      <c r="J3" s="3980">
        <v>22989</v>
      </c>
      <c r="K3" s="3980">
        <v>34483.5</v>
      </c>
      <c r="L3" s="3980" t="s">
        <v>3324</v>
      </c>
      <c r="M3" s="3980" t="s">
        <v>2095</v>
      </c>
      <c r="N3" s="3980" t="s">
        <v>3325</v>
      </c>
      <c r="O3" s="3980" t="s">
        <v>3326</v>
      </c>
      <c r="P3" s="3980" t="s">
        <v>3327</v>
      </c>
      <c r="Q3" s="3980" t="s">
        <v>3328</v>
      </c>
      <c r="R3" s="3980" t="s">
        <v>3329</v>
      </c>
      <c r="S3" s="3980" t="s">
        <v>3329</v>
      </c>
      <c r="T3" s="3980" t="s">
        <v>3330</v>
      </c>
      <c r="U3" s="3980" t="s">
        <v>3315</v>
      </c>
      <c r="V3" s="3980" t="s">
        <v>3331</v>
      </c>
      <c r="W3" s="3980">
        <v>2900</v>
      </c>
      <c r="X3" s="3980">
        <v>2900</v>
      </c>
      <c r="Y3" s="3980">
        <v>2900</v>
      </c>
      <c r="Z3" s="3980">
        <v>84.1</v>
      </c>
      <c r="AA3" s="3980">
        <v>84.1</v>
      </c>
      <c r="AB3" s="3980">
        <v>840.98</v>
      </c>
      <c r="AC3" s="3980">
        <v>840.98</v>
      </c>
      <c r="AD3" s="3980" t="s">
        <v>2095</v>
      </c>
      <c r="AE3" s="3980" t="s">
        <v>2095</v>
      </c>
      <c r="AF3" s="3980">
        <v>0</v>
      </c>
      <c r="AG3" s="3980" t="s">
        <v>3317</v>
      </c>
      <c r="AH3" s="3980" t="s">
        <v>2095</v>
      </c>
      <c r="AI3" s="3980" t="s">
        <v>2095</v>
      </c>
      <c r="AJ3" s="3980" t="s">
        <v>2095</v>
      </c>
      <c r="AK3" s="3980" t="s">
        <v>3332</v>
      </c>
      <c r="AL3" s="3980"/>
      <c r="AM3" s="3980"/>
      <c r="AN3" s="3980"/>
      <c r="AO3" s="3980"/>
      <c r="AP3" s="3980"/>
      <c r="AQ3" s="3980"/>
      <c r="AR3" s="3980"/>
      <c r="AS3" s="3980"/>
      <c r="AT3" s="3980"/>
      <c r="AU3" s="3980"/>
      <c r="AV3" s="3980"/>
      <c r="AW3" s="3980"/>
      <c r="AX3" s="3980"/>
      <c r="AY3" s="3980"/>
      <c r="AZ3" s="3980"/>
      <c r="BA3" s="3980"/>
      <c r="BB3" s="3980"/>
      <c r="BC3" s="3980"/>
      <c r="BD3" s="3980"/>
      <c r="BE3" s="3980"/>
      <c r="BF3" s="3980"/>
      <c r="BG3" s="3980"/>
      <c r="BH3" s="3980"/>
      <c r="BI3" s="3980"/>
      <c r="BJ3" s="3980"/>
      <c r="BK3" s="3980"/>
      <c r="BL3" s="3980"/>
      <c r="BM3" s="3980"/>
      <c r="BN3" s="3980"/>
      <c r="BO3" s="3980"/>
      <c r="BP3" s="3980"/>
      <c r="BQ3" s="3980"/>
      <c r="BR3" s="3980"/>
      <c r="BS3" s="3980"/>
      <c r="BT3" s="3980"/>
      <c r="BU3" s="3980"/>
      <c r="BV3" s="3980"/>
      <c r="BW3" s="3980"/>
      <c r="BX3" s="3980"/>
      <c r="BY3" s="3980"/>
      <c r="BZ3" s="3980"/>
      <c r="CA3" s="3980"/>
      <c r="CB3" s="3980"/>
      <c r="CC3" s="3980"/>
      <c r="CD3" s="3980"/>
      <c r="CE3" s="3980"/>
      <c r="CF3" s="3980"/>
      <c r="CG3" s="3980"/>
      <c r="CH3" s="3980"/>
      <c r="CI3" s="3980"/>
      <c r="CJ3" s="3980"/>
      <c r="CK3" s="3980"/>
      <c r="CL3" s="3980"/>
      <c r="CM3" s="3980"/>
      <c r="CN3" s="3980"/>
      <c r="CO3" s="3980"/>
      <c r="CP3" s="3980"/>
      <c r="CQ3" s="3980"/>
      <c r="CR3" s="3980"/>
      <c r="CS3" s="3980"/>
      <c r="CT3" s="3980"/>
      <c r="CU3" s="3980"/>
      <c r="CV3" s="3980"/>
      <c r="CW3" s="3980"/>
      <c r="CX3" s="3980"/>
      <c r="CY3" s="3980"/>
      <c r="CZ3" s="3980"/>
      <c r="DA3" s="3980"/>
      <c r="DB3" s="3980"/>
      <c r="DC3" s="3980"/>
      <c r="DD3" s="3980"/>
      <c r="DE3" s="3980"/>
      <c r="DF3" s="3980"/>
      <c r="DG3" s="3980"/>
      <c r="DH3" s="3980"/>
      <c r="DI3" s="3980"/>
      <c r="DJ3" s="3980"/>
      <c r="DK3" s="3980"/>
      <c r="DL3" s="3980"/>
      <c r="DM3" s="3980"/>
      <c r="DN3" s="3980"/>
      <c r="DO3" s="3980"/>
      <c r="DP3" s="3980"/>
      <c r="DQ3" s="3980"/>
      <c r="DR3" s="3980"/>
      <c r="DS3" s="3980"/>
      <c r="DT3" s="3980"/>
      <c r="DU3" s="3980"/>
      <c r="DV3" s="3980"/>
      <c r="DW3" s="3980"/>
      <c r="DX3" s="3980"/>
      <c r="DY3" s="3980"/>
      <c r="DZ3" s="3980"/>
      <c r="EA3" s="3980"/>
      <c r="EB3" s="3980"/>
      <c r="EC3" s="3980"/>
      <c r="ED3" s="3980"/>
      <c r="EE3" s="3980"/>
      <c r="EF3" s="3980"/>
      <c r="EG3" s="3980"/>
      <c r="EH3" s="3980"/>
      <c r="EI3" s="3980"/>
      <c r="EJ3" s="3980"/>
      <c r="EK3" s="3980"/>
      <c r="EL3" s="3980"/>
      <c r="EM3" s="3980"/>
      <c r="EN3" s="3980"/>
      <c r="EO3" s="3980"/>
      <c r="EP3" s="3980"/>
      <c r="EQ3" s="3980"/>
      <c r="ER3" s="3980"/>
      <c r="ES3" s="3980"/>
      <c r="ET3" s="3980"/>
      <c r="EU3" s="3980"/>
      <c r="EV3" s="3980"/>
      <c r="EW3" s="3980"/>
      <c r="EX3" s="3980"/>
      <c r="EY3" s="3980"/>
      <c r="EZ3" s="3980"/>
      <c r="FA3" s="3980"/>
      <c r="FB3" s="3980"/>
      <c r="FC3" s="3980"/>
      <c r="FD3" s="3980"/>
      <c r="FE3" s="3980"/>
      <c r="FF3" s="3980"/>
      <c r="FG3" s="3980"/>
      <c r="FH3" s="3980"/>
      <c r="FI3" s="3980"/>
      <c r="FJ3" s="3980"/>
      <c r="FK3" s="3980"/>
      <c r="FL3" s="3980"/>
      <c r="FM3" s="3980"/>
      <c r="FN3" s="3980"/>
      <c r="FO3" s="3980"/>
      <c r="FP3" s="3980"/>
      <c r="FQ3" s="3980"/>
      <c r="FR3" s="3980"/>
      <c r="FS3" s="3980"/>
      <c r="FT3" s="3980"/>
      <c r="FU3" s="3980"/>
      <c r="FV3" s="3980"/>
      <c r="FW3" s="3980"/>
      <c r="FX3" s="3980"/>
      <c r="FY3" s="3980"/>
      <c r="FZ3" s="3980"/>
      <c r="GA3" s="3980"/>
      <c r="GB3" s="3980"/>
      <c r="GC3" s="3980"/>
      <c r="GD3" s="3980"/>
      <c r="GE3" s="3980"/>
      <c r="GF3" s="3980"/>
      <c r="GG3" s="3980"/>
      <c r="GH3" s="3980"/>
      <c r="GI3" s="3980"/>
      <c r="GJ3" s="3980"/>
      <c r="GK3" s="3980"/>
      <c r="GL3" s="3980"/>
      <c r="GM3" s="3980"/>
      <c r="GN3" s="3980"/>
      <c r="GO3" s="3980"/>
      <c r="GP3" s="3980"/>
      <c r="GQ3" s="3980"/>
      <c r="GR3" s="3980"/>
      <c r="GS3" s="3980"/>
      <c r="GT3" s="3980"/>
      <c r="GU3" s="3980"/>
      <c r="GV3" s="3980"/>
      <c r="GW3" s="3980"/>
      <c r="GX3" s="3980"/>
      <c r="GY3" s="3980"/>
      <c r="GZ3" s="3980"/>
      <c r="HA3" s="3980"/>
      <c r="HB3" s="3980"/>
      <c r="HC3" s="3980"/>
      <c r="HD3" s="3980"/>
      <c r="HE3" s="3980"/>
      <c r="HF3" s="3980"/>
      <c r="HG3" s="3980"/>
      <c r="HH3" s="3980"/>
      <c r="HI3" s="3980"/>
      <c r="HJ3" s="3980"/>
      <c r="HK3" s="3980"/>
      <c r="HL3" s="3980"/>
      <c r="HM3" s="3980"/>
      <c r="HN3" s="3980"/>
      <c r="HO3" s="3980"/>
      <c r="HP3" s="3980"/>
      <c r="HQ3" s="3980"/>
      <c r="HR3" s="3980"/>
      <c r="HS3" s="3980"/>
      <c r="HT3" s="3980"/>
      <c r="HU3" s="3980"/>
      <c r="HV3" s="3980"/>
      <c r="HW3" s="3980"/>
      <c r="HX3" s="3980"/>
      <c r="HY3" s="3980"/>
      <c r="HZ3" s="3980"/>
      <c r="IA3" s="3980"/>
      <c r="IB3" s="3980"/>
      <c r="IC3" s="3980"/>
      <c r="ID3" s="3980"/>
      <c r="IE3" s="3980"/>
      <c r="IF3" s="3980"/>
      <c r="IG3" s="3980"/>
      <c r="IH3" s="3980"/>
      <c r="II3" s="3980"/>
      <c r="IJ3" s="3980"/>
      <c r="IK3" s="3980"/>
      <c r="IL3" s="3980"/>
      <c r="IM3" s="3980"/>
    </row>
    <row r="4" spans="1:247">
      <c r="A4" s="3980" t="s">
        <v>3333</v>
      </c>
      <c r="B4" s="3980" t="s">
        <v>3301</v>
      </c>
      <c r="C4" s="3980" t="s">
        <v>3302</v>
      </c>
      <c r="D4" s="3980" t="s">
        <v>3303</v>
      </c>
      <c r="E4" s="3980" t="s">
        <v>3320</v>
      </c>
      <c r="F4" s="3980" t="s">
        <v>3333</v>
      </c>
      <c r="G4" s="3980" t="s">
        <v>3305</v>
      </c>
      <c r="H4" s="3980" t="s">
        <v>3334</v>
      </c>
      <c r="I4" s="3980" t="s">
        <v>3323</v>
      </c>
      <c r="J4" s="3980">
        <v>26568</v>
      </c>
      <c r="K4" s="3980">
        <v>39852</v>
      </c>
      <c r="L4" s="3980" t="s">
        <v>3324</v>
      </c>
      <c r="M4" s="3980" t="s">
        <v>2095</v>
      </c>
      <c r="N4" s="3980" t="s">
        <v>3325</v>
      </c>
      <c r="O4" s="3980" t="s">
        <v>3326</v>
      </c>
      <c r="P4" s="3980" t="s">
        <v>3327</v>
      </c>
      <c r="Q4" s="3980" t="s">
        <v>3328</v>
      </c>
      <c r="R4" s="3980" t="s">
        <v>3329</v>
      </c>
      <c r="S4" s="3980" t="s">
        <v>3329</v>
      </c>
      <c r="T4" s="3980" t="s">
        <v>3330</v>
      </c>
      <c r="U4" s="3980" t="s">
        <v>3315</v>
      </c>
      <c r="V4" s="3980" t="s">
        <v>3335</v>
      </c>
      <c r="W4" s="3980">
        <v>3360</v>
      </c>
      <c r="X4" s="3980">
        <v>3360</v>
      </c>
      <c r="Y4" s="3980">
        <v>3360</v>
      </c>
      <c r="Z4" s="3980">
        <v>84.31</v>
      </c>
      <c r="AA4" s="3980">
        <v>84.31</v>
      </c>
      <c r="AB4" s="3980">
        <v>843.11</v>
      </c>
      <c r="AC4" s="3980">
        <v>843.12</v>
      </c>
      <c r="AD4" s="3980" t="s">
        <v>2095</v>
      </c>
      <c r="AE4" s="3980" t="s">
        <v>2095</v>
      </c>
      <c r="AF4" s="3980">
        <v>0</v>
      </c>
      <c r="AG4" s="3980" t="s">
        <v>3317</v>
      </c>
      <c r="AH4" s="3980" t="s">
        <v>2095</v>
      </c>
      <c r="AI4" s="3980" t="s">
        <v>2095</v>
      </c>
      <c r="AJ4" s="3980" t="s">
        <v>2095</v>
      </c>
      <c r="AK4" s="3980" t="s">
        <v>3332</v>
      </c>
      <c r="AL4" s="3980"/>
      <c r="AM4" s="3980"/>
      <c r="AN4" s="3980"/>
      <c r="AO4" s="3980"/>
      <c r="AP4" s="3980"/>
      <c r="AQ4" s="3980"/>
      <c r="AR4" s="3980"/>
      <c r="AS4" s="3980"/>
      <c r="AT4" s="3980"/>
      <c r="AU4" s="3980"/>
      <c r="AV4" s="3980"/>
      <c r="AW4" s="3980"/>
      <c r="AX4" s="3980"/>
      <c r="AY4" s="3980"/>
      <c r="AZ4" s="3980"/>
      <c r="BA4" s="3980"/>
      <c r="BB4" s="3980"/>
      <c r="BC4" s="3980"/>
      <c r="BD4" s="3980"/>
      <c r="BE4" s="3980"/>
      <c r="BF4" s="3980"/>
      <c r="BG4" s="3980"/>
      <c r="BH4" s="3980"/>
      <c r="BI4" s="3980"/>
      <c r="BJ4" s="3980"/>
      <c r="BK4" s="3980"/>
      <c r="BL4" s="3980"/>
      <c r="BM4" s="3980"/>
      <c r="BN4" s="3980"/>
      <c r="BO4" s="3980"/>
      <c r="BP4" s="3980"/>
      <c r="BQ4" s="3980"/>
      <c r="BR4" s="3980"/>
      <c r="BS4" s="3980"/>
      <c r="BT4" s="3980"/>
      <c r="BU4" s="3980"/>
      <c r="BV4" s="3980"/>
      <c r="BW4" s="3980"/>
      <c r="BX4" s="3980"/>
      <c r="BY4" s="3980"/>
      <c r="BZ4" s="3980"/>
      <c r="CA4" s="3980"/>
      <c r="CB4" s="3980"/>
      <c r="CC4" s="3980"/>
      <c r="CD4" s="3980"/>
      <c r="CE4" s="3980"/>
      <c r="CF4" s="3980"/>
      <c r="CG4" s="3980"/>
      <c r="CH4" s="3980"/>
      <c r="CI4" s="3980"/>
      <c r="CJ4" s="3980"/>
      <c r="CK4" s="3980"/>
      <c r="CL4" s="3980"/>
      <c r="CM4" s="3980"/>
      <c r="CN4" s="3980"/>
      <c r="CO4" s="3980"/>
      <c r="CP4" s="3980"/>
      <c r="CQ4" s="3980"/>
      <c r="CR4" s="3980"/>
      <c r="CS4" s="3980"/>
      <c r="CT4" s="3980"/>
      <c r="CU4" s="3980"/>
      <c r="CV4" s="3980"/>
      <c r="CW4" s="3980"/>
      <c r="CX4" s="3980"/>
      <c r="CY4" s="3980"/>
      <c r="CZ4" s="3980"/>
      <c r="DA4" s="3980"/>
      <c r="DB4" s="3980"/>
      <c r="DC4" s="3980"/>
      <c r="DD4" s="3980"/>
      <c r="DE4" s="3980"/>
      <c r="DF4" s="3980"/>
      <c r="DG4" s="3980"/>
      <c r="DH4" s="3980"/>
      <c r="DI4" s="3980"/>
      <c r="DJ4" s="3980"/>
      <c r="DK4" s="3980"/>
      <c r="DL4" s="3980"/>
      <c r="DM4" s="3980"/>
      <c r="DN4" s="3980"/>
      <c r="DO4" s="3980"/>
      <c r="DP4" s="3980"/>
      <c r="DQ4" s="3980"/>
      <c r="DR4" s="3980"/>
      <c r="DS4" s="3980"/>
      <c r="DT4" s="3980"/>
      <c r="DU4" s="3980"/>
      <c r="DV4" s="3980"/>
      <c r="DW4" s="3980"/>
      <c r="DX4" s="3980"/>
      <c r="DY4" s="3980"/>
      <c r="DZ4" s="3980"/>
      <c r="EA4" s="3980"/>
      <c r="EB4" s="3980"/>
      <c r="EC4" s="3980"/>
      <c r="ED4" s="3980"/>
      <c r="EE4" s="3980"/>
      <c r="EF4" s="3980"/>
      <c r="EG4" s="3980"/>
      <c r="EH4" s="3980"/>
      <c r="EI4" s="3980"/>
      <c r="EJ4" s="3980"/>
      <c r="EK4" s="3980"/>
      <c r="EL4" s="3980"/>
      <c r="EM4" s="3980"/>
      <c r="EN4" s="3980"/>
      <c r="EO4" s="3980"/>
      <c r="EP4" s="3980"/>
      <c r="EQ4" s="3980"/>
      <c r="ER4" s="3980"/>
      <c r="ES4" s="3980"/>
      <c r="ET4" s="3980"/>
      <c r="EU4" s="3980"/>
      <c r="EV4" s="3980"/>
      <c r="EW4" s="3980"/>
      <c r="EX4" s="3980"/>
      <c r="EY4" s="3980"/>
      <c r="EZ4" s="3980"/>
      <c r="FA4" s="3980"/>
      <c r="FB4" s="3980"/>
      <c r="FC4" s="3980"/>
      <c r="FD4" s="3980"/>
      <c r="FE4" s="3980"/>
      <c r="FF4" s="3980"/>
      <c r="FG4" s="3980"/>
      <c r="FH4" s="3980"/>
      <c r="FI4" s="3980"/>
      <c r="FJ4" s="3980"/>
      <c r="FK4" s="3980"/>
      <c r="FL4" s="3980"/>
      <c r="FM4" s="3980"/>
      <c r="FN4" s="3980"/>
      <c r="FO4" s="3980"/>
      <c r="FP4" s="3980"/>
      <c r="FQ4" s="3980"/>
      <c r="FR4" s="3980"/>
      <c r="FS4" s="3980"/>
      <c r="FT4" s="3980"/>
      <c r="FU4" s="3980"/>
      <c r="FV4" s="3980"/>
      <c r="FW4" s="3980"/>
      <c r="FX4" s="3980"/>
      <c r="FY4" s="3980"/>
      <c r="FZ4" s="3980"/>
      <c r="GA4" s="3980"/>
      <c r="GB4" s="3980"/>
      <c r="GC4" s="3980"/>
      <c r="GD4" s="3980"/>
      <c r="GE4" s="3980"/>
      <c r="GF4" s="3980"/>
      <c r="GG4" s="3980"/>
      <c r="GH4" s="3980"/>
      <c r="GI4" s="3980"/>
      <c r="GJ4" s="3980"/>
      <c r="GK4" s="3980"/>
      <c r="GL4" s="3980"/>
      <c r="GM4" s="3980"/>
      <c r="GN4" s="3980"/>
      <c r="GO4" s="3980"/>
      <c r="GP4" s="3980"/>
      <c r="GQ4" s="3980"/>
      <c r="GR4" s="3980"/>
      <c r="GS4" s="3980"/>
      <c r="GT4" s="3980"/>
      <c r="GU4" s="3980"/>
      <c r="GV4" s="3980"/>
      <c r="GW4" s="3980"/>
      <c r="GX4" s="3980"/>
      <c r="GY4" s="3980"/>
      <c r="GZ4" s="3980"/>
      <c r="HA4" s="3980"/>
      <c r="HB4" s="3980"/>
      <c r="HC4" s="3980"/>
      <c r="HD4" s="3980"/>
      <c r="HE4" s="3980"/>
      <c r="HF4" s="3980"/>
      <c r="HG4" s="3980"/>
      <c r="HH4" s="3980"/>
      <c r="HI4" s="3980"/>
      <c r="HJ4" s="3980"/>
      <c r="HK4" s="3980"/>
      <c r="HL4" s="3980"/>
      <c r="HM4" s="3980"/>
      <c r="HN4" s="3980"/>
      <c r="HO4" s="3980"/>
      <c r="HP4" s="3980"/>
      <c r="HQ4" s="3980"/>
      <c r="HR4" s="3980"/>
      <c r="HS4" s="3980"/>
      <c r="HT4" s="3980"/>
      <c r="HU4" s="3980"/>
      <c r="HV4" s="3980"/>
      <c r="HW4" s="3980"/>
      <c r="HX4" s="3980"/>
      <c r="HY4" s="3980"/>
      <c r="HZ4" s="3980"/>
      <c r="IA4" s="3980"/>
      <c r="IB4" s="3980"/>
      <c r="IC4" s="3980"/>
      <c r="ID4" s="3980"/>
      <c r="IE4" s="3980"/>
      <c r="IF4" s="3980"/>
      <c r="IG4" s="3980"/>
      <c r="IH4" s="3980"/>
      <c r="II4" s="3980"/>
      <c r="IJ4" s="3980"/>
      <c r="IK4" s="3980"/>
      <c r="IL4" s="3980"/>
      <c r="IM4" s="3980"/>
    </row>
    <row r="13" spans="1:247">
      <c r="V13" s="3981">
        <v>1</v>
      </c>
      <c r="W13" s="3981">
        <v>1</v>
      </c>
      <c r="X13" s="3981">
        <v>3</v>
      </c>
      <c r="Y13" s="3984">
        <f ca="1">Y21/X21*X13</f>
        <v>12121.379310344828</v>
      </c>
    </row>
    <row r="14" spans="1:247">
      <c r="V14" s="3981">
        <v>2</v>
      </c>
      <c r="W14" s="3981">
        <v>0.6</v>
      </c>
      <c r="X14" s="3981">
        <f>$X$13*W14</f>
        <v>1.7999999999999998</v>
      </c>
      <c r="Y14" s="3984">
        <f ca="1">W14*$Y$13</f>
        <v>7272.8275862068967</v>
      </c>
    </row>
    <row r="15" spans="1:247">
      <c r="V15" s="3981">
        <v>3</v>
      </c>
      <c r="W15" s="3981">
        <v>0.5</v>
      </c>
      <c r="X15" s="3981">
        <f t="shared" ref="X15:X20" si="0">$X$13*W15</f>
        <v>1.5</v>
      </c>
      <c r="Y15" s="3984">
        <f t="shared" ref="Y15:Y20" ca="1" si="1">W15*$Y$13</f>
        <v>6060.6896551724139</v>
      </c>
    </row>
    <row r="16" spans="1:247">
      <c r="V16" s="3981">
        <v>4</v>
      </c>
      <c r="W16" s="3981">
        <v>0.45</v>
      </c>
      <c r="X16" s="3981">
        <f t="shared" si="0"/>
        <v>1.35</v>
      </c>
      <c r="Y16" s="3984">
        <f t="shared" ca="1" si="1"/>
        <v>5454.620689655173</v>
      </c>
    </row>
    <row r="17" spans="20:25">
      <c r="V17" s="3981">
        <v>5</v>
      </c>
      <c r="W17" s="3981">
        <f t="shared" ref="W17:W20" si="2">W16</f>
        <v>0.45</v>
      </c>
      <c r="X17" s="3981">
        <f t="shared" si="0"/>
        <v>1.35</v>
      </c>
      <c r="Y17" s="3984">
        <f t="shared" ca="1" si="1"/>
        <v>5454.620689655173</v>
      </c>
    </row>
    <row r="18" spans="20:25">
      <c r="V18" s="3981">
        <v>6</v>
      </c>
      <c r="W18" s="3981">
        <f t="shared" si="2"/>
        <v>0.45</v>
      </c>
      <c r="X18" s="3981">
        <f t="shared" si="0"/>
        <v>1.35</v>
      </c>
      <c r="Y18" s="3984">
        <f t="shared" ca="1" si="1"/>
        <v>5454.620689655173</v>
      </c>
    </row>
    <row r="19" spans="20:25">
      <c r="V19" s="3981">
        <v>7</v>
      </c>
      <c r="W19" s="3981">
        <f t="shared" si="2"/>
        <v>0.45</v>
      </c>
      <c r="X19" s="3981">
        <f t="shared" si="0"/>
        <v>1.35</v>
      </c>
      <c r="Y19" s="3984">
        <f t="shared" ca="1" si="1"/>
        <v>5454.620689655173</v>
      </c>
    </row>
    <row r="20" spans="20:25">
      <c r="V20" s="3981">
        <v>8</v>
      </c>
      <c r="W20" s="3981">
        <f t="shared" si="2"/>
        <v>0.45</v>
      </c>
      <c r="X20" s="3981">
        <f t="shared" si="0"/>
        <v>1.35</v>
      </c>
      <c r="Y20" s="3984">
        <f t="shared" ca="1" si="1"/>
        <v>5454.620689655173</v>
      </c>
    </row>
    <row r="21" spans="20:25">
      <c r="X21" s="3981">
        <f>SUM(X13:X20)/8</f>
        <v>1.6312499999999999</v>
      </c>
      <c r="Y21" s="3981">
        <f ca="1">[3]不动产收益法!C43</f>
        <v>6591</v>
      </c>
    </row>
    <row r="26" spans="20:25">
      <c r="T26" s="3985" t="s">
        <v>3336</v>
      </c>
    </row>
  </sheetData>
  <phoneticPr fontId="224"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50" t="s">
        <v>2300</v>
      </c>
      <c r="K2" s="3951"/>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52" t="s">
        <v>2310</v>
      </c>
      <c r="K3" s="3953"/>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52" t="s">
        <v>2312</v>
      </c>
      <c r="K4" s="3953"/>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58" t="s">
        <v>2316</v>
      </c>
      <c r="B6" s="3959"/>
      <c r="C6" s="3960"/>
      <c r="D6" s="3098"/>
      <c r="E6" s="3099"/>
      <c r="F6" s="3100"/>
      <c r="G6" s="3101"/>
      <c r="H6" s="3076"/>
      <c r="I6" s="3077"/>
      <c r="J6" s="3944">
        <v>1</v>
      </c>
      <c r="K6" s="3945"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44"/>
      <c r="K7" s="3946"/>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61" t="s">
        <v>2330</v>
      </c>
      <c r="C8" s="3962"/>
      <c r="D8" s="3117" t="s">
        <v>2331</v>
      </c>
      <c r="E8" s="3118" t="s">
        <v>2332</v>
      </c>
      <c r="F8" s="3119" t="s">
        <v>2333</v>
      </c>
      <c r="G8" s="3120"/>
      <c r="H8" s="3076"/>
      <c r="I8" s="3077"/>
      <c r="J8" s="3944"/>
      <c r="K8" s="3946"/>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61" t="s">
        <v>2336</v>
      </c>
      <c r="C9" s="3962"/>
      <c r="D9" s="3117">
        <f>ROUND(D6*E9,0)</f>
        <v>0</v>
      </c>
      <c r="E9" s="3121"/>
      <c r="F9" s="3122" t="s">
        <v>2337</v>
      </c>
      <c r="G9" s="3101"/>
      <c r="H9" s="3076"/>
      <c r="I9" s="3077"/>
      <c r="J9" s="3944"/>
      <c r="K9" s="3946"/>
      <c r="L9" s="3111" t="s">
        <v>2338</v>
      </c>
      <c r="M9" s="3112"/>
      <c r="N9" s="3088"/>
      <c r="O9" s="3113"/>
      <c r="P9" s="3113"/>
      <c r="Q9" s="3114">
        <v>365</v>
      </c>
      <c r="R9" s="3115">
        <f t="shared" si="0"/>
        <v>0</v>
      </c>
      <c r="S9" s="3068"/>
      <c r="T9" s="3068"/>
      <c r="U9" s="3068"/>
      <c r="V9" s="3077"/>
    </row>
    <row r="10" spans="1:22" s="3081" customFormat="1" ht="13.15" customHeight="1">
      <c r="A10" s="3116">
        <v>2</v>
      </c>
      <c r="B10" s="3961" t="s">
        <v>2339</v>
      </c>
      <c r="C10" s="3962"/>
      <c r="D10" s="3117">
        <f>ROUND(D6*E10,0)</f>
        <v>0</v>
      </c>
      <c r="E10" s="3121"/>
      <c r="F10" s="3122" t="s">
        <v>2340</v>
      </c>
      <c r="G10" s="3101"/>
      <c r="H10" s="3076"/>
      <c r="I10" s="3077"/>
      <c r="J10" s="3944"/>
      <c r="K10" s="3946"/>
      <c r="L10" s="3111" t="s">
        <v>2341</v>
      </c>
      <c r="M10" s="3112"/>
      <c r="N10" s="3088"/>
      <c r="O10" s="3113"/>
      <c r="P10" s="3113"/>
      <c r="Q10" s="3114">
        <v>365</v>
      </c>
      <c r="R10" s="3115">
        <f t="shared" si="0"/>
        <v>0</v>
      </c>
      <c r="S10" s="3068"/>
      <c r="T10" s="3068"/>
      <c r="U10" s="3068"/>
      <c r="V10" s="3077"/>
    </row>
    <row r="11" spans="1:22" s="3081" customFormat="1" ht="13.15" customHeight="1">
      <c r="A11" s="3116">
        <v>3</v>
      </c>
      <c r="B11" s="3961" t="s">
        <v>2342</v>
      </c>
      <c r="C11" s="3962"/>
      <c r="D11" s="3117">
        <f>D12+D14+D15+D16</f>
        <v>0</v>
      </c>
      <c r="E11" s="3123" t="e">
        <f>D11/D6</f>
        <v>#DIV/0!</v>
      </c>
      <c r="F11" s="3119"/>
      <c r="G11" s="3120"/>
      <c r="H11" s="3076"/>
      <c r="I11" s="3077"/>
      <c r="J11" s="3944"/>
      <c r="K11" s="3946"/>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54" t="s">
        <v>2345</v>
      </c>
      <c r="C12" s="3955"/>
      <c r="D12" s="3125">
        <f>ROUND(D13*1.2%*(1-30%),0)</f>
        <v>0</v>
      </c>
      <c r="E12" s="3126">
        <v>1.2E-2</v>
      </c>
      <c r="F12" s="3119" t="s">
        <v>2346</v>
      </c>
      <c r="G12" s="3120"/>
      <c r="H12" s="3076"/>
      <c r="I12" s="3077"/>
      <c r="J12" s="3944"/>
      <c r="K12" s="3946"/>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44"/>
      <c r="K13" s="3946"/>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54" t="s">
        <v>2351</v>
      </c>
      <c r="C14" s="3955"/>
      <c r="D14" s="3125">
        <f>ROUND(E14*B5/10000,0)</f>
        <v>0</v>
      </c>
      <c r="E14" s="3114"/>
      <c r="F14" s="3119" t="s">
        <v>2352</v>
      </c>
      <c r="G14" s="3120"/>
      <c r="H14" s="3076"/>
      <c r="I14" s="3077"/>
      <c r="J14" s="3944"/>
      <c r="K14" s="3947"/>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54" t="s">
        <v>2355</v>
      </c>
      <c r="C15" s="3955"/>
      <c r="D15" s="3125">
        <f>ROUND(D6*E15,0)</f>
        <v>0</v>
      </c>
      <c r="E15" s="3126">
        <v>5.5E-2</v>
      </c>
      <c r="F15" s="3119" t="s">
        <v>2356</v>
      </c>
      <c r="G15" s="3101"/>
      <c r="H15" s="3076"/>
      <c r="I15" s="3077"/>
      <c r="J15" s="3944">
        <v>2</v>
      </c>
      <c r="K15" s="3945"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54" t="s">
        <v>2366</v>
      </c>
      <c r="C16" s="3955"/>
      <c r="D16" s="3136">
        <f>D6*E16</f>
        <v>0</v>
      </c>
      <c r="E16" s="3137"/>
      <c r="F16" s="3122" t="s">
        <v>2367</v>
      </c>
      <c r="G16" s="3101"/>
      <c r="H16" s="3076"/>
      <c r="I16" s="3077"/>
      <c r="J16" s="3944"/>
      <c r="K16" s="3946"/>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56" t="s">
        <v>2369</v>
      </c>
      <c r="C17" s="3957"/>
      <c r="D17" s="3139">
        <f>ROUND(D6*E17,0)</f>
        <v>0</v>
      </c>
      <c r="E17" s="3140"/>
      <c r="F17" s="3141" t="s">
        <v>2370</v>
      </c>
      <c r="G17" s="3101"/>
      <c r="H17" s="3076"/>
      <c r="I17" s="3077"/>
      <c r="J17" s="3944"/>
      <c r="K17" s="3946"/>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44"/>
      <c r="K18" s="3946"/>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44"/>
      <c r="K19" s="3947"/>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4">
        <v>3</v>
      </c>
      <c r="K20" s="3945"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44"/>
      <c r="K21" s="3946"/>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44"/>
      <c r="K22" s="3946"/>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44"/>
      <c r="K23" s="3946"/>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44"/>
      <c r="K24" s="3947"/>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48">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49"/>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50" t="s">
        <v>2412</v>
      </c>
      <c r="K32" s="3951"/>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52" t="s">
        <v>2416</v>
      </c>
      <c r="K33" s="3953"/>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52" t="s">
        <v>2418</v>
      </c>
      <c r="K34" s="3953"/>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44">
        <v>1</v>
      </c>
      <c r="K36" s="3945"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44"/>
      <c r="K37" s="3946"/>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4"/>
      <c r="K38" s="3946"/>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44"/>
      <c r="K39" s="3946"/>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44"/>
      <c r="K40" s="3947"/>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48">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49"/>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3087</v>
      </c>
      <c r="D13" s="3013">
        <f>'数据-汇总表'!E6</f>
        <v>294028.11</v>
      </c>
      <c r="E13" s="3013">
        <f>'数据-取费表'!B28</f>
        <v>105</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3.6499999999999998E-2</v>
      </c>
      <c r="G17" s="731" t="str">
        <f>IF('数据-取费表'!B19&lt;=1,"((１＋３)×土地开发期+２×(土地开发期÷２))×利率","((１＋３)×((1+利率)^土地开发期-1)+２×((1+利率)^(土地开发期÷２)-1)")</f>
        <v>((１＋３)×((1+利率)^土地开发期-1)+２×((1+利率)^(土地开发期÷２)-1)</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0.77700000000000002</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0" t="s">
        <v>471</v>
      </c>
      <c r="D4" s="3861"/>
      <c r="E4" s="3882" t="s">
        <v>472</v>
      </c>
      <c r="F4" s="3883"/>
      <c r="G4" s="3860" t="s">
        <v>473</v>
      </c>
      <c r="H4" s="3861"/>
      <c r="I4" s="3860" t="s">
        <v>474</v>
      </c>
      <c r="J4" s="3861"/>
      <c r="K4" s="818" t="s">
        <v>475</v>
      </c>
      <c r="L4" s="1856"/>
      <c r="M4" s="1857"/>
      <c r="N4" s="1857"/>
      <c r="O4" s="1857"/>
      <c r="P4" s="3862" t="s">
        <v>476</v>
      </c>
      <c r="Q4" s="3863"/>
      <c r="R4" s="3846" t="s">
        <v>472</v>
      </c>
      <c r="S4" s="3847"/>
      <c r="T4" s="3846" t="s">
        <v>473</v>
      </c>
      <c r="U4" s="3847"/>
      <c r="V4" s="3868" t="s">
        <v>474</v>
      </c>
      <c r="W4" s="3868"/>
      <c r="X4" s="1380"/>
      <c r="Y4" s="3846" t="s">
        <v>476</v>
      </c>
      <c r="Z4" s="3847"/>
      <c r="AA4" s="3841" t="s">
        <v>472</v>
      </c>
      <c r="AB4" s="3841" t="s">
        <v>473</v>
      </c>
      <c r="AC4" s="3841" t="s">
        <v>474</v>
      </c>
    </row>
    <row r="5" spans="1:29" ht="15">
      <c r="A5" s="485"/>
      <c r="B5" s="486"/>
      <c r="C5" s="3871" t="s">
        <v>2188</v>
      </c>
      <c r="D5" s="3872"/>
      <c r="E5" s="3884" t="s">
        <v>2189</v>
      </c>
      <c r="F5" s="3885"/>
      <c r="G5" s="3871" t="s">
        <v>2190</v>
      </c>
      <c r="H5" s="3872"/>
      <c r="I5" s="3871" t="s">
        <v>2191</v>
      </c>
      <c r="J5" s="3872"/>
      <c r="K5" s="819"/>
      <c r="L5" s="1856"/>
      <c r="M5" s="1857"/>
      <c r="N5" s="1857"/>
      <c r="O5" s="1857"/>
      <c r="P5" s="3864"/>
      <c r="Q5" s="3865"/>
      <c r="R5" s="3848"/>
      <c r="S5" s="3849"/>
      <c r="T5" s="3848"/>
      <c r="U5" s="3849"/>
      <c r="V5" s="3868"/>
      <c r="W5" s="3868"/>
      <c r="X5" s="1380"/>
      <c r="Y5" s="3848"/>
      <c r="Z5" s="3849"/>
      <c r="AA5" s="3842"/>
      <c r="AB5" s="3842"/>
      <c r="AC5" s="3842"/>
    </row>
    <row r="6" spans="1:29" ht="15.75" thickBot="1">
      <c r="A6" s="487"/>
      <c r="B6" s="488"/>
      <c r="C6" s="3869" t="s">
        <v>2192</v>
      </c>
      <c r="D6" s="3870"/>
      <c r="E6" s="3886" t="s">
        <v>2192</v>
      </c>
      <c r="F6" s="3887"/>
      <c r="G6" s="3869" t="s">
        <v>2192</v>
      </c>
      <c r="H6" s="3870"/>
      <c r="I6" s="3869" t="s">
        <v>2192</v>
      </c>
      <c r="J6" s="3870"/>
      <c r="K6" s="819" t="s">
        <v>477</v>
      </c>
      <c r="L6" s="1856"/>
      <c r="M6" s="1857"/>
      <c r="N6" s="1857"/>
      <c r="O6" s="1857"/>
      <c r="P6" s="3866"/>
      <c r="Q6" s="3867"/>
      <c r="R6" s="3848"/>
      <c r="S6" s="3849"/>
      <c r="T6" s="3850"/>
      <c r="U6" s="3851"/>
      <c r="V6" s="3868"/>
      <c r="W6" s="3868"/>
      <c r="X6" s="1380"/>
      <c r="Y6" s="3850"/>
      <c r="Z6" s="3851"/>
      <c r="AA6" s="3843"/>
      <c r="AB6" s="3843"/>
      <c r="AC6" s="3843"/>
    </row>
    <row r="7" spans="1:29" s="1118" customFormat="1" ht="15.75" thickBot="1">
      <c r="A7" s="2392"/>
      <c r="B7" s="2399" t="s">
        <v>478</v>
      </c>
      <c r="C7" s="489">
        <f>'数据-取费表'!B2</f>
        <v>44929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4" t="s">
        <v>479</v>
      </c>
      <c r="Q7" s="3853"/>
      <c r="R7" s="1381" t="s">
        <v>10</v>
      </c>
      <c r="S7" s="1382">
        <f t="shared" ref="S7:S15" si="0">F7</f>
        <v>0</v>
      </c>
      <c r="T7" s="1381" t="s">
        <v>10</v>
      </c>
      <c r="U7" s="1382">
        <f t="shared" ref="U7:U15" si="1">H7</f>
        <v>0</v>
      </c>
      <c r="V7" s="1381" t="s">
        <v>10</v>
      </c>
      <c r="W7" s="1382">
        <f t="shared" ref="W7:W15"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4" t="s">
        <v>482</v>
      </c>
      <c r="Q8" s="3845"/>
      <c r="R8" s="1381" t="s">
        <v>10</v>
      </c>
      <c r="S8" s="1382">
        <f t="shared" si="0"/>
        <v>0</v>
      </c>
      <c r="T8" s="1381" t="s">
        <v>10</v>
      </c>
      <c r="U8" s="1382">
        <f t="shared" si="1"/>
        <v>0</v>
      </c>
      <c r="V8" s="1381" t="s">
        <v>10</v>
      </c>
      <c r="W8" s="1382">
        <f t="shared" si="2"/>
        <v>0</v>
      </c>
      <c r="X8" s="1383"/>
      <c r="Y8" s="3844" t="s">
        <v>482</v>
      </c>
      <c r="Z8" s="384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0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2"/>
      <c r="Q11" s="1050" t="str">
        <f t="shared" si="6"/>
        <v>容积率</v>
      </c>
      <c r="R11" s="1381" t="s">
        <v>8</v>
      </c>
      <c r="S11" s="1382" t="e">
        <f t="shared" si="0"/>
        <v>#N/A</v>
      </c>
      <c r="T11" s="1381" t="s">
        <v>8</v>
      </c>
      <c r="U11" s="1382" t="e">
        <f t="shared" si="1"/>
        <v>#N/A</v>
      </c>
      <c r="V11" s="1381" t="s">
        <v>8</v>
      </c>
      <c r="W11" s="1382" t="e">
        <f t="shared" si="2"/>
        <v>#N/A</v>
      </c>
      <c r="X11" s="1383"/>
      <c r="Y11" s="380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2"/>
      <c r="Q12" s="1050">
        <f t="shared" si="6"/>
        <v>111</v>
      </c>
      <c r="R12" s="1381" t="s">
        <v>8</v>
      </c>
      <c r="S12" s="1382">
        <f t="shared" si="0"/>
        <v>100</v>
      </c>
      <c r="T12" s="1381" t="s">
        <v>8</v>
      </c>
      <c r="U12" s="1382">
        <f t="shared" si="1"/>
        <v>100</v>
      </c>
      <c r="V12" s="1381" t="s">
        <v>8</v>
      </c>
      <c r="W12" s="1382">
        <f t="shared" si="2"/>
        <v>100</v>
      </c>
      <c r="X12" s="1383"/>
      <c r="Y12" s="380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2"/>
      <c r="Q13" s="1050">
        <f t="shared" si="6"/>
        <v>111</v>
      </c>
      <c r="R13" s="1381" t="s">
        <v>8</v>
      </c>
      <c r="S13" s="1382">
        <f t="shared" si="0"/>
        <v>100</v>
      </c>
      <c r="T13" s="1381" t="s">
        <v>8</v>
      </c>
      <c r="U13" s="1382">
        <f t="shared" si="1"/>
        <v>100</v>
      </c>
      <c r="V13" s="1381" t="s">
        <v>8</v>
      </c>
      <c r="W13" s="1382">
        <f t="shared" si="2"/>
        <v>100</v>
      </c>
      <c r="X13" s="1383"/>
      <c r="Y13" s="380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2"/>
      <c r="Q14" s="1050">
        <f t="shared" si="6"/>
        <v>111</v>
      </c>
      <c r="R14" s="1381" t="s">
        <v>8</v>
      </c>
      <c r="S14" s="1382">
        <f t="shared" si="0"/>
        <v>100</v>
      </c>
      <c r="T14" s="1381" t="s">
        <v>8</v>
      </c>
      <c r="U14" s="1382">
        <f t="shared" si="1"/>
        <v>100</v>
      </c>
      <c r="V14" s="1381" t="s">
        <v>8</v>
      </c>
      <c r="W14" s="1382">
        <f t="shared" si="2"/>
        <v>100</v>
      </c>
      <c r="X14" s="1383"/>
      <c r="Y14" s="3800"/>
      <c r="Z14" s="1049">
        <f t="shared" si="7"/>
        <v>111</v>
      </c>
      <c r="AA14" s="1384">
        <f t="shared" si="3"/>
        <v>1</v>
      </c>
      <c r="AB14" s="1384">
        <f t="shared" si="4"/>
        <v>1</v>
      </c>
      <c r="AC14" s="1384">
        <f t="shared" si="5"/>
        <v>1</v>
      </c>
    </row>
    <row r="15" spans="1:29" ht="99.75">
      <c r="A15" s="2390"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4" t="s">
        <v>489</v>
      </c>
      <c r="Q15" s="1385" t="str">
        <f t="shared" si="6"/>
        <v>居住社区成熟度</v>
      </c>
      <c r="R15" s="1386" t="s">
        <v>8</v>
      </c>
      <c r="S15" s="1387">
        <f t="shared" si="0"/>
        <v>100</v>
      </c>
      <c r="T15" s="1386" t="s">
        <v>8</v>
      </c>
      <c r="U15" s="1387">
        <f t="shared" si="1"/>
        <v>100</v>
      </c>
      <c r="V15" s="1386" t="s">
        <v>8</v>
      </c>
      <c r="W15" s="1387">
        <f t="shared" si="2"/>
        <v>100</v>
      </c>
      <c r="X15" s="1380"/>
      <c r="Y15" s="385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5"/>
      <c r="Q16" s="1385"/>
      <c r="R16" s="1386"/>
      <c r="S16" s="1387"/>
      <c r="T16" s="1386"/>
      <c r="U16" s="1387"/>
      <c r="V16" s="1386"/>
      <c r="W16" s="1387"/>
      <c r="X16" s="1380"/>
      <c r="Y16" s="3855"/>
      <c r="Z16" s="1388"/>
      <c r="AA16" s="1389">
        <v>1</v>
      </c>
      <c r="AB16" s="1389">
        <v>1</v>
      </c>
      <c r="AC16" s="1389">
        <v>1</v>
      </c>
    </row>
    <row r="17" spans="1:29" ht="85.5">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5"/>
      <c r="Q17" s="1385" t="str">
        <f>B17</f>
        <v>交通便捷度</v>
      </c>
      <c r="R17" s="1386" t="s">
        <v>8</v>
      </c>
      <c r="S17" s="1387">
        <f>F17</f>
        <v>100</v>
      </c>
      <c r="T17" s="1386" t="s">
        <v>8</v>
      </c>
      <c r="U17" s="1387">
        <f>H17</f>
        <v>100</v>
      </c>
      <c r="V17" s="1386" t="s">
        <v>8</v>
      </c>
      <c r="W17" s="1387">
        <f>J17</f>
        <v>100</v>
      </c>
      <c r="X17" s="1380"/>
      <c r="Y17" s="385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5"/>
      <c r="Q18" s="1385"/>
      <c r="R18" s="1386"/>
      <c r="S18" s="1387"/>
      <c r="T18" s="1386"/>
      <c r="U18" s="1387"/>
      <c r="V18" s="1386"/>
      <c r="W18" s="1387"/>
      <c r="X18" s="1380"/>
      <c r="Y18" s="3855"/>
      <c r="Z18" s="1388"/>
      <c r="AA18" s="1389">
        <v>1</v>
      </c>
      <c r="AB18" s="1389">
        <v>1</v>
      </c>
      <c r="AC18" s="1389">
        <v>1</v>
      </c>
    </row>
    <row r="19" spans="1:29" ht="42.75">
      <c r="A19" s="502"/>
      <c r="B19" s="2208"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5"/>
      <c r="Q19" s="1385" t="str">
        <f>B19</f>
        <v>公共配套设施</v>
      </c>
      <c r="R19" s="1386" t="s">
        <v>8</v>
      </c>
      <c r="S19" s="1387">
        <f>F19</f>
        <v>100</v>
      </c>
      <c r="T19" s="1386" t="s">
        <v>8</v>
      </c>
      <c r="U19" s="1387">
        <f>H19</f>
        <v>100</v>
      </c>
      <c r="V19" s="1386" t="s">
        <v>8</v>
      </c>
      <c r="W19" s="1387">
        <f>J19</f>
        <v>100</v>
      </c>
      <c r="X19" s="1380"/>
      <c r="Y19" s="385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5"/>
      <c r="Q20" s="1385"/>
      <c r="R20" s="1386"/>
      <c r="S20" s="1387"/>
      <c r="T20" s="1386"/>
      <c r="U20" s="1387"/>
      <c r="V20" s="1386"/>
      <c r="W20" s="1387"/>
      <c r="X20" s="1380"/>
      <c r="Y20" s="3855"/>
      <c r="Z20" s="1388"/>
      <c r="AA20" s="1389">
        <v>1</v>
      </c>
      <c r="AB20" s="1389">
        <v>1</v>
      </c>
      <c r="AC20" s="1389">
        <v>1</v>
      </c>
    </row>
    <row r="21" spans="1:29" ht="28.5">
      <c r="A21" s="502"/>
      <c r="B21" s="2201"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5"/>
      <c r="Q21" s="2193" t="str">
        <f>B21</f>
        <v>基础设施水平</v>
      </c>
      <c r="R21" s="1386" t="s">
        <v>8</v>
      </c>
      <c r="S21" s="1387">
        <f>F21</f>
        <v>100</v>
      </c>
      <c r="T21" s="1386" t="s">
        <v>8</v>
      </c>
      <c r="U21" s="1387">
        <f>H21</f>
        <v>100</v>
      </c>
      <c r="V21" s="1386" t="s">
        <v>8</v>
      </c>
      <c r="W21" s="1387">
        <f>J21</f>
        <v>100</v>
      </c>
      <c r="X21" s="2195"/>
      <c r="Y21" s="385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5"/>
      <c r="Q22" s="2193"/>
      <c r="R22" s="1386"/>
      <c r="S22" s="1387"/>
      <c r="T22" s="1386"/>
      <c r="U22" s="1387"/>
      <c r="V22" s="1386"/>
      <c r="W22" s="1387"/>
      <c r="X22" s="2195"/>
      <c r="Y22" s="3855"/>
      <c r="Z22" s="2194"/>
      <c r="AA22" s="1389">
        <v>1</v>
      </c>
      <c r="AB22" s="1389">
        <v>1</v>
      </c>
      <c r="AC22" s="1389">
        <v>1</v>
      </c>
    </row>
    <row r="23" spans="1:29" ht="57">
      <c r="A23" s="502"/>
      <c r="B23" s="834" t="s">
        <v>263</v>
      </c>
      <c r="C23" s="835" t="str">
        <f>估价对象房地状况!C9</f>
        <v>区域自然环境：；人文环境；综合评价环境状况较差</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5"/>
      <c r="Q23" s="1385" t="str">
        <f>B23</f>
        <v>自然及人文环境</v>
      </c>
      <c r="R23" s="1386" t="s">
        <v>8</v>
      </c>
      <c r="S23" s="1387">
        <f>F23</f>
        <v>100</v>
      </c>
      <c r="T23" s="1386" t="s">
        <v>8</v>
      </c>
      <c r="U23" s="1387">
        <f>H23</f>
        <v>100</v>
      </c>
      <c r="V23" s="1386" t="s">
        <v>8</v>
      </c>
      <c r="W23" s="1387">
        <f>J23</f>
        <v>100</v>
      </c>
      <c r="X23" s="1380"/>
      <c r="Y23" s="385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5"/>
      <c r="Q24" s="1385"/>
      <c r="R24" s="1386"/>
      <c r="S24" s="1387"/>
      <c r="T24" s="1386"/>
      <c r="U24" s="1387"/>
      <c r="V24" s="1386"/>
      <c r="W24" s="1387"/>
      <c r="X24" s="1380"/>
      <c r="Y24" s="385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5"/>
      <c r="Q25" s="1385" t="str">
        <f t="shared" ref="Q25:Q46" si="8">B25</f>
        <v>楼层-1</v>
      </c>
      <c r="R25" s="1386" t="s">
        <v>8</v>
      </c>
      <c r="S25" s="1387">
        <f>F25</f>
        <v>100</v>
      </c>
      <c r="T25" s="1386" t="s">
        <v>8</v>
      </c>
      <c r="U25" s="1387">
        <f>H25</f>
        <v>100</v>
      </c>
      <c r="V25" s="1386" t="s">
        <v>8</v>
      </c>
      <c r="W25" s="1387">
        <f>J25</f>
        <v>100</v>
      </c>
      <c r="X25" s="1380"/>
      <c r="Y25" s="385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5"/>
      <c r="Q26" s="1385" t="str">
        <f t="shared" si="8"/>
        <v>朝向</v>
      </c>
      <c r="R26" s="1386" t="s">
        <v>8</v>
      </c>
      <c r="S26" s="1387">
        <f>F26</f>
        <v>100</v>
      </c>
      <c r="T26" s="1386" t="s">
        <v>8</v>
      </c>
      <c r="U26" s="1387">
        <f>H26</f>
        <v>100</v>
      </c>
      <c r="V26" s="1386" t="s">
        <v>8</v>
      </c>
      <c r="W26" s="1387">
        <f>J26</f>
        <v>100</v>
      </c>
      <c r="X26" s="1380"/>
      <c r="Y26" s="385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5"/>
      <c r="Q27" s="1050" t="str">
        <f t="shared" si="8"/>
        <v>道路级别</v>
      </c>
      <c r="R27" s="1381" t="s">
        <v>8</v>
      </c>
      <c r="S27" s="1382">
        <f>F27</f>
        <v>100</v>
      </c>
      <c r="T27" s="1381" t="s">
        <v>8</v>
      </c>
      <c r="U27" s="1382">
        <f>H27</f>
        <v>100</v>
      </c>
      <c r="V27" s="1381" t="s">
        <v>8</v>
      </c>
      <c r="W27" s="1382">
        <f>J27</f>
        <v>100</v>
      </c>
      <c r="X27" s="1383"/>
      <c r="Y27" s="385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5"/>
      <c r="Q28" s="1385">
        <f t="shared" si="8"/>
        <v>111</v>
      </c>
      <c r="R28" s="1386" t="s">
        <v>8</v>
      </c>
      <c r="S28" s="1387">
        <f t="shared" ref="S28:S46" si="9">F28</f>
        <v>100</v>
      </c>
      <c r="T28" s="1386" t="s">
        <v>8</v>
      </c>
      <c r="U28" s="1387">
        <f t="shared" ref="U28:U46" si="10">H28</f>
        <v>100</v>
      </c>
      <c r="V28" s="1386" t="s">
        <v>8</v>
      </c>
      <c r="W28" s="1387">
        <f t="shared" ref="W28:W46" si="11">J28</f>
        <v>100</v>
      </c>
      <c r="X28" s="1380"/>
      <c r="Y28" s="385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5"/>
      <c r="Q29" s="1385">
        <f t="shared" si="8"/>
        <v>111</v>
      </c>
      <c r="R29" s="1386" t="s">
        <v>8</v>
      </c>
      <c r="S29" s="1387">
        <f t="shared" si="9"/>
        <v>100</v>
      </c>
      <c r="T29" s="1386" t="s">
        <v>8</v>
      </c>
      <c r="U29" s="1387">
        <f t="shared" si="10"/>
        <v>100</v>
      </c>
      <c r="V29" s="1386" t="s">
        <v>8</v>
      </c>
      <c r="W29" s="1387">
        <f t="shared" si="11"/>
        <v>100</v>
      </c>
      <c r="X29" s="1380"/>
      <c r="Y29" s="385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5"/>
      <c r="Q30" s="1385">
        <f t="shared" si="8"/>
        <v>111</v>
      </c>
      <c r="R30" s="1386" t="s">
        <v>8</v>
      </c>
      <c r="S30" s="1387">
        <f t="shared" si="9"/>
        <v>100</v>
      </c>
      <c r="T30" s="1386" t="s">
        <v>8</v>
      </c>
      <c r="U30" s="1387">
        <f t="shared" si="10"/>
        <v>100</v>
      </c>
      <c r="V30" s="1386" t="s">
        <v>8</v>
      </c>
      <c r="W30" s="1387">
        <f t="shared" si="11"/>
        <v>100</v>
      </c>
      <c r="X30" s="1380"/>
      <c r="Y30" s="385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5"/>
      <c r="Q31" s="1385">
        <f t="shared" si="8"/>
        <v>111</v>
      </c>
      <c r="R31" s="1386" t="s">
        <v>8</v>
      </c>
      <c r="S31" s="1387">
        <f t="shared" si="9"/>
        <v>100</v>
      </c>
      <c r="T31" s="1386" t="s">
        <v>8</v>
      </c>
      <c r="U31" s="1387">
        <f t="shared" si="10"/>
        <v>100</v>
      </c>
      <c r="V31" s="1386" t="s">
        <v>8</v>
      </c>
      <c r="W31" s="1387">
        <f t="shared" si="11"/>
        <v>100</v>
      </c>
      <c r="X31" s="1380"/>
      <c r="Y31" s="385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6" t="s">
        <v>499</v>
      </c>
      <c r="Q32" s="1385" t="str">
        <f t="shared" si="8"/>
        <v>建筑类型</v>
      </c>
      <c r="R32" s="1386" t="s">
        <v>8</v>
      </c>
      <c r="S32" s="1387">
        <f t="shared" si="9"/>
        <v>100</v>
      </c>
      <c r="T32" s="1386" t="s">
        <v>8</v>
      </c>
      <c r="U32" s="1387">
        <f t="shared" si="10"/>
        <v>100</v>
      </c>
      <c r="V32" s="1386" t="s">
        <v>8</v>
      </c>
      <c r="W32" s="1387">
        <f t="shared" si="11"/>
        <v>100</v>
      </c>
      <c r="X32" s="1380"/>
      <c r="Y32" s="385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7"/>
      <c r="Q33" s="1414" t="str">
        <f t="shared" si="8"/>
        <v>项目建筑规模</v>
      </c>
      <c r="R33" s="1390" t="s">
        <v>8</v>
      </c>
      <c r="S33" s="1391" t="e">
        <f t="shared" si="9"/>
        <v>#N/A</v>
      </c>
      <c r="T33" s="1390" t="s">
        <v>8</v>
      </c>
      <c r="U33" s="1391" t="e">
        <f t="shared" si="10"/>
        <v>#N/A</v>
      </c>
      <c r="V33" s="1390" t="s">
        <v>8</v>
      </c>
      <c r="W33" s="1391" t="e">
        <f t="shared" si="11"/>
        <v>#N/A</v>
      </c>
      <c r="X33" s="1392"/>
      <c r="Y33" s="385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7"/>
      <c r="Q34" s="1385" t="str">
        <f t="shared" si="8"/>
        <v>建筑结构</v>
      </c>
      <c r="R34" s="1386" t="s">
        <v>8</v>
      </c>
      <c r="S34" s="1387">
        <f t="shared" si="9"/>
        <v>100</v>
      </c>
      <c r="T34" s="1386" t="s">
        <v>8</v>
      </c>
      <c r="U34" s="1387">
        <f t="shared" si="10"/>
        <v>100</v>
      </c>
      <c r="V34" s="1386" t="s">
        <v>8</v>
      </c>
      <c r="W34" s="1387">
        <f t="shared" si="11"/>
        <v>100</v>
      </c>
      <c r="X34" s="1380"/>
      <c r="Y34" s="385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7"/>
      <c r="Q35" s="1385" t="str">
        <f t="shared" si="8"/>
        <v>建筑品质</v>
      </c>
      <c r="R35" s="1386" t="s">
        <v>8</v>
      </c>
      <c r="S35" s="1387">
        <f t="shared" si="9"/>
        <v>100</v>
      </c>
      <c r="T35" s="1386" t="s">
        <v>8</v>
      </c>
      <c r="U35" s="1387">
        <f t="shared" si="10"/>
        <v>100</v>
      </c>
      <c r="V35" s="1386" t="s">
        <v>8</v>
      </c>
      <c r="W35" s="1387">
        <f t="shared" si="11"/>
        <v>100</v>
      </c>
      <c r="X35" s="1380"/>
      <c r="Y35" s="385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7"/>
      <c r="Q36" s="1385" t="str">
        <f t="shared" si="8"/>
        <v>公共部分装修</v>
      </c>
      <c r="R36" s="1386" t="s">
        <v>8</v>
      </c>
      <c r="S36" s="1387">
        <f t="shared" si="9"/>
        <v>100</v>
      </c>
      <c r="T36" s="1386" t="s">
        <v>8</v>
      </c>
      <c r="U36" s="1387">
        <f t="shared" si="10"/>
        <v>100</v>
      </c>
      <c r="V36" s="1386" t="s">
        <v>8</v>
      </c>
      <c r="W36" s="1387">
        <f t="shared" si="11"/>
        <v>100</v>
      </c>
      <c r="X36" s="1380"/>
      <c r="Y36" s="385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7"/>
      <c r="Q37" s="1050" t="str">
        <f t="shared" si="8"/>
        <v>成新度</v>
      </c>
      <c r="R37" s="1381" t="s">
        <v>8</v>
      </c>
      <c r="S37" s="1382" t="e">
        <f t="shared" si="9"/>
        <v>#N/A</v>
      </c>
      <c r="T37" s="1381" t="s">
        <v>8</v>
      </c>
      <c r="U37" s="1382" t="e">
        <f t="shared" si="10"/>
        <v>#N/A</v>
      </c>
      <c r="V37" s="1381" t="s">
        <v>8</v>
      </c>
      <c r="W37" s="1382" t="e">
        <f t="shared" si="11"/>
        <v>#N/A</v>
      </c>
      <c r="X37" s="1383"/>
      <c r="Y37" s="385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7" t="s">
        <v>499</v>
      </c>
      <c r="Q38" s="1385" t="str">
        <f t="shared" si="8"/>
        <v>物业管理</v>
      </c>
      <c r="R38" s="1386" t="s">
        <v>8</v>
      </c>
      <c r="S38" s="1387">
        <f t="shared" si="9"/>
        <v>100</v>
      </c>
      <c r="T38" s="1386" t="s">
        <v>8</v>
      </c>
      <c r="U38" s="1387">
        <f t="shared" si="10"/>
        <v>100</v>
      </c>
      <c r="V38" s="1386" t="s">
        <v>8</v>
      </c>
      <c r="W38" s="1387">
        <f t="shared" si="11"/>
        <v>100</v>
      </c>
      <c r="X38" s="1380"/>
      <c r="Y38" s="385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7"/>
      <c r="Q39" s="1385" t="str">
        <f t="shared" si="8"/>
        <v>市政基础设施</v>
      </c>
      <c r="R39" s="1386" t="s">
        <v>8</v>
      </c>
      <c r="S39" s="1387">
        <f t="shared" si="9"/>
        <v>100</v>
      </c>
      <c r="T39" s="1386" t="s">
        <v>8</v>
      </c>
      <c r="U39" s="1387">
        <f t="shared" si="10"/>
        <v>100</v>
      </c>
      <c r="V39" s="1386" t="s">
        <v>8</v>
      </c>
      <c r="W39" s="1387">
        <f t="shared" si="11"/>
        <v>100</v>
      </c>
      <c r="X39" s="1380"/>
      <c r="Y39" s="385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7"/>
      <c r="Q40" s="1385" t="str">
        <f t="shared" si="8"/>
        <v>房型</v>
      </c>
      <c r="R40" s="1386" t="s">
        <v>8</v>
      </c>
      <c r="S40" s="1387">
        <f t="shared" si="9"/>
        <v>100</v>
      </c>
      <c r="T40" s="1386" t="s">
        <v>8</v>
      </c>
      <c r="U40" s="1387">
        <f t="shared" si="10"/>
        <v>100</v>
      </c>
      <c r="V40" s="1386" t="s">
        <v>8</v>
      </c>
      <c r="W40" s="1387">
        <f t="shared" si="11"/>
        <v>100</v>
      </c>
      <c r="X40" s="1380"/>
      <c r="Y40" s="385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7"/>
      <c r="Q41" s="1414" t="str">
        <f t="shared" si="8"/>
        <v>单套/主力户型建筑面积</v>
      </c>
      <c r="R41" s="1390" t="s">
        <v>8</v>
      </c>
      <c r="S41" s="1391">
        <f t="shared" si="9"/>
        <v>100</v>
      </c>
      <c r="T41" s="1390" t="s">
        <v>8</v>
      </c>
      <c r="U41" s="1391">
        <f t="shared" si="10"/>
        <v>100</v>
      </c>
      <c r="V41" s="1390" t="s">
        <v>8</v>
      </c>
      <c r="W41" s="1391">
        <f t="shared" si="11"/>
        <v>100</v>
      </c>
      <c r="X41" s="1392"/>
      <c r="Y41" s="385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7"/>
      <c r="Q42" s="1385" t="str">
        <f t="shared" si="8"/>
        <v>内部装修</v>
      </c>
      <c r="R42" s="1386" t="s">
        <v>8</v>
      </c>
      <c r="S42" s="1387">
        <f t="shared" si="9"/>
        <v>100</v>
      </c>
      <c r="T42" s="1386" t="s">
        <v>8</v>
      </c>
      <c r="U42" s="1387">
        <f t="shared" si="10"/>
        <v>100</v>
      </c>
      <c r="V42" s="1386" t="s">
        <v>8</v>
      </c>
      <c r="W42" s="1387">
        <f t="shared" si="11"/>
        <v>100</v>
      </c>
      <c r="X42" s="1380"/>
      <c r="Y42" s="385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7"/>
      <c r="Q43" s="1385" t="str">
        <f t="shared" si="8"/>
        <v>内部装修维护情况</v>
      </c>
      <c r="R43" s="1386" t="s">
        <v>8</v>
      </c>
      <c r="S43" s="1387">
        <f t="shared" si="9"/>
        <v>100</v>
      </c>
      <c r="T43" s="1386" t="s">
        <v>8</v>
      </c>
      <c r="U43" s="1387">
        <f t="shared" si="10"/>
        <v>100</v>
      </c>
      <c r="V43" s="1386" t="s">
        <v>8</v>
      </c>
      <c r="W43" s="1387">
        <f t="shared" si="11"/>
        <v>100</v>
      </c>
      <c r="X43" s="1380"/>
      <c r="Y43" s="385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7"/>
      <c r="Q44" s="1050">
        <f t="shared" si="8"/>
        <v>111</v>
      </c>
      <c r="R44" s="1381" t="s">
        <v>8</v>
      </c>
      <c r="S44" s="1382">
        <f t="shared" si="9"/>
        <v>100</v>
      </c>
      <c r="T44" s="1381" t="s">
        <v>8</v>
      </c>
      <c r="U44" s="1382">
        <f t="shared" si="10"/>
        <v>100</v>
      </c>
      <c r="V44" s="1381" t="s">
        <v>8</v>
      </c>
      <c r="W44" s="1382">
        <f t="shared" si="11"/>
        <v>100</v>
      </c>
      <c r="X44" s="1383"/>
      <c r="Y44" s="385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7"/>
      <c r="Q45" s="1385">
        <f t="shared" si="8"/>
        <v>111</v>
      </c>
      <c r="R45" s="1386" t="s">
        <v>8</v>
      </c>
      <c r="S45" s="1387">
        <f t="shared" si="9"/>
        <v>100</v>
      </c>
      <c r="T45" s="1386" t="s">
        <v>8</v>
      </c>
      <c r="U45" s="1387">
        <f t="shared" si="10"/>
        <v>100</v>
      </c>
      <c r="V45" s="1386" t="s">
        <v>8</v>
      </c>
      <c r="W45" s="1387">
        <f t="shared" si="11"/>
        <v>100</v>
      </c>
      <c r="X45" s="1380"/>
      <c r="Y45" s="385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5"/>
      <c r="Q46" s="1385">
        <f t="shared" si="8"/>
        <v>111</v>
      </c>
      <c r="R46" s="1386" t="s">
        <v>7</v>
      </c>
      <c r="S46" s="1387">
        <f t="shared" si="9"/>
        <v>100</v>
      </c>
      <c r="T46" s="1386" t="s">
        <v>7</v>
      </c>
      <c r="U46" s="1387">
        <f t="shared" si="10"/>
        <v>100</v>
      </c>
      <c r="V46" s="1386" t="s">
        <v>7</v>
      </c>
      <c r="W46" s="1387">
        <f t="shared" si="11"/>
        <v>100</v>
      </c>
      <c r="X46" s="1380"/>
      <c r="Y46" s="396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2" t="str">
        <f>A47</f>
        <v>成交单价（元/平方米）</v>
      </c>
      <c r="Q47" s="3852"/>
      <c r="R47" s="3964">
        <f>E47</f>
        <v>0</v>
      </c>
      <c r="S47" s="3964"/>
      <c r="T47" s="3964">
        <f>G47</f>
        <v>0</v>
      </c>
      <c r="U47" s="3964"/>
      <c r="V47" s="3964">
        <f>I47</f>
        <v>0</v>
      </c>
      <c r="W47" s="3964"/>
      <c r="X47" s="1375"/>
      <c r="Y47" s="1394"/>
      <c r="Z47" s="1375"/>
      <c r="AA47" s="1375"/>
      <c r="AB47" s="1375"/>
      <c r="AC47" s="1375"/>
    </row>
    <row r="48" spans="1:29" ht="15.75" thickBot="1">
      <c r="A48" s="585" t="s">
        <v>2042</v>
      </c>
      <c r="B48" s="851"/>
      <c r="C48" s="2240" t="e">
        <f>R49</f>
        <v>#DIV/0!</v>
      </c>
      <c r="D48" s="2757" t="s">
        <v>2257</v>
      </c>
      <c r="E48" s="2241" t="e">
        <f>R48</f>
        <v>#DIV/0!</v>
      </c>
      <c r="F48" s="2758"/>
      <c r="G48" s="2240" t="e">
        <f>T48</f>
        <v>#DIV/0!</v>
      </c>
      <c r="H48" s="2758"/>
      <c r="I48" s="2241" t="e">
        <f>V48</f>
        <v>#DIV/0!</v>
      </c>
      <c r="J48" s="2758"/>
      <c r="K48" s="2766">
        <f>F48+H48+J48</f>
        <v>0</v>
      </c>
      <c r="L48" s="1867"/>
      <c r="M48" s="1868"/>
      <c r="N48" s="1868"/>
      <c r="O48" s="1868"/>
      <c r="P48" s="3852" t="str">
        <f>A48</f>
        <v>比较价格（元/平方米）</v>
      </c>
      <c r="Q48" s="3852"/>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1375"/>
      <c r="Y48" s="1375"/>
      <c r="Z48" s="1375"/>
      <c r="AA48" s="1375"/>
      <c r="AB48" s="1375"/>
      <c r="AC48" s="1375"/>
    </row>
    <row r="49" spans="1:29" ht="15.75" thickBot="1">
      <c r="A49" s="589" t="s">
        <v>2194</v>
      </c>
      <c r="B49" s="590"/>
      <c r="C49" s="2242" t="e">
        <f>R49</f>
        <v>#DIV/0!</v>
      </c>
      <c r="D49" s="2242"/>
      <c r="E49" s="2242"/>
      <c r="F49" s="2242"/>
      <c r="G49" s="2242"/>
      <c r="H49" s="2242"/>
      <c r="I49" s="2242"/>
      <c r="J49" s="2242"/>
      <c r="K49" s="1416"/>
      <c r="L49" s="1867"/>
      <c r="M49" s="1868"/>
      <c r="N49" s="1868"/>
      <c r="O49" s="1868"/>
      <c r="P49" s="3858" t="str">
        <f>A49</f>
        <v>估价对象XX用房的比较价格（楼面单价，元/平方米）</v>
      </c>
      <c r="Q49" s="3859"/>
      <c r="R49" s="3963" t="e">
        <f>IF(F1="售价",ROUND(IF(D48="简单平均",AVERAGE(R48:V48),R48*F48+T48*H48+V48*J48),0),ROUND(IF(D48="简单平均",AVERAGE(R48:V48),R48*F48+T48*H48+V48*J48),1))</f>
        <v>#DIV/0!</v>
      </c>
      <c r="S49" s="3963"/>
      <c r="T49" s="3963"/>
      <c r="U49" s="3963"/>
      <c r="V49" s="3963"/>
      <c r="W49" s="396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2023-1</v>
      </c>
      <c r="D58" s="2284">
        <f>EDATE(C58,-1)</f>
        <v>44896</v>
      </c>
      <c r="E58" s="2284">
        <f t="shared" ref="E58:O58" si="13">EDATE(D58,-1)</f>
        <v>44866</v>
      </c>
      <c r="F58" s="2284">
        <f t="shared" si="13"/>
        <v>44835</v>
      </c>
      <c r="G58" s="2284">
        <f t="shared" si="13"/>
        <v>44805</v>
      </c>
      <c r="H58" s="2284">
        <f t="shared" si="13"/>
        <v>44774</v>
      </c>
      <c r="I58" s="2284">
        <f t="shared" si="13"/>
        <v>44743</v>
      </c>
      <c r="J58" s="2284">
        <f t="shared" si="13"/>
        <v>44713</v>
      </c>
      <c r="K58" s="2284">
        <f t="shared" si="13"/>
        <v>44682</v>
      </c>
      <c r="L58" s="2284">
        <f t="shared" si="13"/>
        <v>44652</v>
      </c>
      <c r="M58" s="2284">
        <f t="shared" si="13"/>
        <v>44621</v>
      </c>
      <c r="N58" s="2284">
        <f t="shared" si="13"/>
        <v>44593</v>
      </c>
      <c r="O58" s="2284">
        <f t="shared" si="13"/>
        <v>44562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0" t="s">
        <v>471</v>
      </c>
      <c r="D4" s="3861"/>
      <c r="E4" s="3882" t="s">
        <v>472</v>
      </c>
      <c r="F4" s="3883"/>
      <c r="G4" s="3860" t="s">
        <v>473</v>
      </c>
      <c r="H4" s="3861"/>
      <c r="I4" s="3860" t="s">
        <v>474</v>
      </c>
      <c r="J4" s="3861"/>
      <c r="K4" s="484" t="s">
        <v>475</v>
      </c>
      <c r="L4" s="1856"/>
      <c r="M4" s="1857"/>
      <c r="N4" s="1857"/>
      <c r="O4" s="1857"/>
      <c r="P4" s="3862" t="s">
        <v>476</v>
      </c>
      <c r="Q4" s="3863"/>
      <c r="R4" s="3846" t="s">
        <v>472</v>
      </c>
      <c r="S4" s="3847"/>
      <c r="T4" s="3846" t="s">
        <v>473</v>
      </c>
      <c r="U4" s="3847"/>
      <c r="V4" s="3868" t="s">
        <v>474</v>
      </c>
      <c r="W4" s="3868"/>
      <c r="X4" s="1380"/>
      <c r="Y4" s="3846" t="s">
        <v>476</v>
      </c>
      <c r="Z4" s="3847"/>
      <c r="AA4" s="3841" t="s">
        <v>472</v>
      </c>
      <c r="AB4" s="3868" t="s">
        <v>473</v>
      </c>
      <c r="AC4" s="3841" t="s">
        <v>474</v>
      </c>
    </row>
    <row r="5" spans="1:29" ht="15">
      <c r="A5" s="485"/>
      <c r="B5" s="486"/>
      <c r="C5" s="3871" t="s">
        <v>2188</v>
      </c>
      <c r="D5" s="3872"/>
      <c r="E5" s="3884" t="s">
        <v>2189</v>
      </c>
      <c r="F5" s="3885"/>
      <c r="G5" s="3871" t="s">
        <v>2190</v>
      </c>
      <c r="H5" s="3872"/>
      <c r="I5" s="3871" t="s">
        <v>2191</v>
      </c>
      <c r="J5" s="3872"/>
      <c r="K5" s="484"/>
      <c r="L5" s="1856"/>
      <c r="M5" s="1857"/>
      <c r="N5" s="1857"/>
      <c r="O5" s="1857"/>
      <c r="P5" s="3864"/>
      <c r="Q5" s="3865"/>
      <c r="R5" s="3848"/>
      <c r="S5" s="3849"/>
      <c r="T5" s="3848"/>
      <c r="U5" s="3849"/>
      <c r="V5" s="3868"/>
      <c r="W5" s="3868"/>
      <c r="X5" s="1380"/>
      <c r="Y5" s="3848"/>
      <c r="Z5" s="3849"/>
      <c r="AA5" s="3842"/>
      <c r="AB5" s="3868"/>
      <c r="AC5" s="3842"/>
    </row>
    <row r="6" spans="1:29" ht="15.75" thickBot="1">
      <c r="A6" s="487"/>
      <c r="B6" s="488"/>
      <c r="C6" s="3869" t="s">
        <v>2192</v>
      </c>
      <c r="D6" s="3870"/>
      <c r="E6" s="3886" t="s">
        <v>2192</v>
      </c>
      <c r="F6" s="3887"/>
      <c r="G6" s="3869" t="s">
        <v>2192</v>
      </c>
      <c r="H6" s="3870"/>
      <c r="I6" s="3869" t="s">
        <v>2192</v>
      </c>
      <c r="J6" s="3870"/>
      <c r="K6" s="484" t="s">
        <v>477</v>
      </c>
      <c r="L6" s="1856"/>
      <c r="M6" s="1857"/>
      <c r="N6" s="1857"/>
      <c r="O6" s="1857"/>
      <c r="P6" s="3866"/>
      <c r="Q6" s="3867"/>
      <c r="R6" s="3848"/>
      <c r="S6" s="3849"/>
      <c r="T6" s="3850"/>
      <c r="U6" s="3851"/>
      <c r="V6" s="3868"/>
      <c r="W6" s="3868"/>
      <c r="X6" s="1380"/>
      <c r="Y6" s="3850"/>
      <c r="Z6" s="3851"/>
      <c r="AA6" s="3843"/>
      <c r="AB6" s="3868"/>
      <c r="AC6" s="3843"/>
    </row>
    <row r="7" spans="1:29" s="1118" customFormat="1" ht="15.75" thickBot="1">
      <c r="A7" s="2392"/>
      <c r="B7" s="2399"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4" t="s">
        <v>479</v>
      </c>
      <c r="Q7" s="3853"/>
      <c r="R7" s="1381" t="s">
        <v>5</v>
      </c>
      <c r="S7" s="1382">
        <f t="shared" ref="S7:S15" si="0">F7</f>
        <v>0</v>
      </c>
      <c r="T7" s="1381" t="s">
        <v>5</v>
      </c>
      <c r="U7" s="1382">
        <f t="shared" ref="U7:U15" si="1">H7</f>
        <v>0</v>
      </c>
      <c r="V7" s="1381" t="s">
        <v>5</v>
      </c>
      <c r="W7" s="1382">
        <f t="shared" ref="W7:W15"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4" t="s">
        <v>482</v>
      </c>
      <c r="Q8" s="3845"/>
      <c r="R8" s="1381" t="s">
        <v>5</v>
      </c>
      <c r="S8" s="1382">
        <f t="shared" si="0"/>
        <v>0</v>
      </c>
      <c r="T8" s="1381" t="s">
        <v>5</v>
      </c>
      <c r="U8" s="1382">
        <f t="shared" si="1"/>
        <v>0</v>
      </c>
      <c r="V8" s="1381" t="s">
        <v>5</v>
      </c>
      <c r="W8" s="1382">
        <f t="shared" si="2"/>
        <v>0</v>
      </c>
      <c r="X8" s="1383"/>
      <c r="Y8" s="3844" t="s">
        <v>482</v>
      </c>
      <c r="Z8" s="384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0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2"/>
      <c r="Q11" s="1050" t="str">
        <f t="shared" si="6"/>
        <v>容积率</v>
      </c>
      <c r="R11" s="1381" t="s">
        <v>5</v>
      </c>
      <c r="S11" s="1382" t="e">
        <f t="shared" si="0"/>
        <v>#N/A</v>
      </c>
      <c r="T11" s="1381" t="s">
        <v>5</v>
      </c>
      <c r="U11" s="1382" t="e">
        <f t="shared" si="1"/>
        <v>#N/A</v>
      </c>
      <c r="V11" s="1381" t="s">
        <v>5</v>
      </c>
      <c r="W11" s="1382" t="e">
        <f t="shared" si="2"/>
        <v>#N/A</v>
      </c>
      <c r="X11" s="1383"/>
      <c r="Y11" s="380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0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0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2"/>
      <c r="Q14" s="1050">
        <f t="shared" si="6"/>
        <v>111</v>
      </c>
      <c r="R14" s="1381" t="s">
        <v>5</v>
      </c>
      <c r="S14" s="1382">
        <f t="shared" si="0"/>
        <v>100</v>
      </c>
      <c r="T14" s="1381" t="s">
        <v>5</v>
      </c>
      <c r="U14" s="1382">
        <f t="shared" si="1"/>
        <v>100</v>
      </c>
      <c r="V14" s="1381" t="s">
        <v>5</v>
      </c>
      <c r="W14" s="1382">
        <f t="shared" si="2"/>
        <v>100</v>
      </c>
      <c r="X14" s="1383"/>
      <c r="Y14" s="3800"/>
      <c r="Z14" s="1049">
        <f t="shared" si="7"/>
        <v>111</v>
      </c>
      <c r="AA14" s="1384">
        <f t="shared" si="3"/>
        <v>1</v>
      </c>
      <c r="AB14" s="1384">
        <f t="shared" si="4"/>
        <v>1</v>
      </c>
      <c r="AC14" s="1384">
        <f t="shared" si="5"/>
        <v>1</v>
      </c>
    </row>
    <row r="15" spans="1:29" ht="71.25">
      <c r="A15" s="2390" t="s">
        <v>2036</v>
      </c>
      <c r="B15" s="159" t="s">
        <v>490</v>
      </c>
      <c r="C15" s="830" t="str">
        <f>估价对象房地状况!C4</f>
        <v>估价对象周边商业氛围成熟度一般，人流量一般，住宅底商为主，商业繁华度一般</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4" t="s">
        <v>489</v>
      </c>
      <c r="Q15" s="1385" t="str">
        <f t="shared" si="6"/>
        <v>商业繁华度</v>
      </c>
      <c r="R15" s="1386" t="s">
        <v>5</v>
      </c>
      <c r="S15" s="1387">
        <f t="shared" si="0"/>
        <v>100</v>
      </c>
      <c r="T15" s="1386" t="s">
        <v>5</v>
      </c>
      <c r="U15" s="1387">
        <f t="shared" si="1"/>
        <v>100</v>
      </c>
      <c r="V15" s="1386" t="s">
        <v>5</v>
      </c>
      <c r="W15" s="1387">
        <f t="shared" si="2"/>
        <v>100</v>
      </c>
      <c r="X15" s="1380"/>
      <c r="Y15" s="385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5"/>
      <c r="Q16" s="1385"/>
      <c r="R16" s="1386"/>
      <c r="S16" s="1387"/>
      <c r="T16" s="1386"/>
      <c r="U16" s="1387"/>
      <c r="V16" s="1386"/>
      <c r="W16" s="1387"/>
      <c r="X16" s="1380"/>
      <c r="Y16" s="3855"/>
      <c r="Z16" s="1388"/>
      <c r="AA16" s="1389">
        <v>1</v>
      </c>
      <c r="AB16" s="1389">
        <v>1</v>
      </c>
      <c r="AC16" s="1389">
        <v>1</v>
      </c>
    </row>
    <row r="17" spans="1:29" ht="85.5">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5"/>
      <c r="Q17" s="1385" t="str">
        <f>B17</f>
        <v>交通便捷度</v>
      </c>
      <c r="R17" s="1386" t="s">
        <v>5</v>
      </c>
      <c r="S17" s="1387">
        <f>F17</f>
        <v>100</v>
      </c>
      <c r="T17" s="1386" t="s">
        <v>5</v>
      </c>
      <c r="U17" s="1387">
        <f>H17</f>
        <v>100</v>
      </c>
      <c r="V17" s="1386" t="s">
        <v>5</v>
      </c>
      <c r="W17" s="1387">
        <f>J17</f>
        <v>100</v>
      </c>
      <c r="X17" s="1380"/>
      <c r="Y17" s="385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5"/>
      <c r="Q18" s="1385"/>
      <c r="R18" s="1386"/>
      <c r="S18" s="1387"/>
      <c r="T18" s="1386"/>
      <c r="U18" s="1387"/>
      <c r="V18" s="1386"/>
      <c r="W18" s="1387"/>
      <c r="X18" s="1380"/>
      <c r="Y18" s="3855"/>
      <c r="Z18" s="1388"/>
      <c r="AA18" s="1389">
        <v>1</v>
      </c>
      <c r="AB18" s="1389">
        <v>1</v>
      </c>
      <c r="AC18" s="1389">
        <v>1</v>
      </c>
    </row>
    <row r="19" spans="1:29" ht="42.75">
      <c r="A19" s="502"/>
      <c r="B19" s="2208"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5"/>
      <c r="Q19" s="1385" t="str">
        <f>B19</f>
        <v>公共配套设施</v>
      </c>
      <c r="R19" s="1386" t="s">
        <v>5</v>
      </c>
      <c r="S19" s="1387">
        <f>F19</f>
        <v>100</v>
      </c>
      <c r="T19" s="1386" t="s">
        <v>5</v>
      </c>
      <c r="U19" s="1387">
        <f>H19</f>
        <v>100</v>
      </c>
      <c r="V19" s="1386" t="s">
        <v>5</v>
      </c>
      <c r="W19" s="1387">
        <f>J19</f>
        <v>100</v>
      </c>
      <c r="X19" s="1380"/>
      <c r="Y19" s="385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5"/>
      <c r="Q20" s="1385"/>
      <c r="R20" s="1386"/>
      <c r="S20" s="1387"/>
      <c r="T20" s="1386"/>
      <c r="U20" s="1387"/>
      <c r="V20" s="1386"/>
      <c r="W20" s="1387"/>
      <c r="X20" s="1380"/>
      <c r="Y20" s="3855"/>
      <c r="Z20" s="1388"/>
      <c r="AA20" s="1389">
        <v>1</v>
      </c>
      <c r="AB20" s="1389">
        <v>1</v>
      </c>
      <c r="AC20" s="1389">
        <v>1</v>
      </c>
    </row>
    <row r="21" spans="1:29" ht="28.5">
      <c r="A21" s="502"/>
      <c r="B21" s="2201"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5"/>
      <c r="Q21" s="2193" t="str">
        <f>B21</f>
        <v>基础设施水平</v>
      </c>
      <c r="R21" s="1386" t="s">
        <v>5</v>
      </c>
      <c r="S21" s="1387">
        <f>F21</f>
        <v>100</v>
      </c>
      <c r="T21" s="1386" t="s">
        <v>5</v>
      </c>
      <c r="U21" s="1387">
        <f>H21</f>
        <v>100</v>
      </c>
      <c r="V21" s="1386" t="s">
        <v>5</v>
      </c>
      <c r="W21" s="1387">
        <f>J21</f>
        <v>100</v>
      </c>
      <c r="X21" s="2195"/>
      <c r="Y21" s="385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5"/>
      <c r="Q22" s="2193"/>
      <c r="R22" s="1386"/>
      <c r="S22" s="1387"/>
      <c r="T22" s="1386"/>
      <c r="U22" s="1387"/>
      <c r="V22" s="1386"/>
      <c r="W22" s="1387"/>
      <c r="X22" s="2195"/>
      <c r="Y22" s="3855"/>
      <c r="Z22" s="2194"/>
      <c r="AA22" s="1389">
        <v>1</v>
      </c>
      <c r="AB22" s="1389">
        <v>1</v>
      </c>
      <c r="AC22" s="1389">
        <v>1</v>
      </c>
    </row>
    <row r="23" spans="1:29" ht="57">
      <c r="A23" s="502"/>
      <c r="B23" s="834" t="s">
        <v>263</v>
      </c>
      <c r="C23" s="863" t="str">
        <f>估价对象房地状况!C9</f>
        <v>区域自然环境：；人文环境；综合评价环境状况较差</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5"/>
      <c r="Q23" s="1385" t="str">
        <f>B23</f>
        <v>自然及人文环境</v>
      </c>
      <c r="R23" s="1386" t="s">
        <v>5</v>
      </c>
      <c r="S23" s="1387">
        <f>F23</f>
        <v>100</v>
      </c>
      <c r="T23" s="1386" t="s">
        <v>5</v>
      </c>
      <c r="U23" s="1387">
        <f>H23</f>
        <v>100</v>
      </c>
      <c r="V23" s="1386" t="s">
        <v>5</v>
      </c>
      <c r="W23" s="1387">
        <f>J23</f>
        <v>100</v>
      </c>
      <c r="X23" s="1380"/>
      <c r="Y23" s="385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5"/>
      <c r="Q24" s="1385"/>
      <c r="R24" s="1386"/>
      <c r="S24" s="1387"/>
      <c r="T24" s="1386"/>
      <c r="U24" s="1387"/>
      <c r="V24" s="1386"/>
      <c r="W24" s="1387"/>
      <c r="X24" s="1380"/>
      <c r="Y24" s="385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5"/>
      <c r="Q25" s="1385" t="str">
        <f t="shared" ref="Q25:Q46" si="8">B25</f>
        <v>临街状况</v>
      </c>
      <c r="R25" s="1386" t="s">
        <v>5</v>
      </c>
      <c r="S25" s="1387">
        <f>F25</f>
        <v>100</v>
      </c>
      <c r="T25" s="1386" t="s">
        <v>5</v>
      </c>
      <c r="U25" s="1387">
        <f>H25</f>
        <v>100</v>
      </c>
      <c r="V25" s="1386" t="s">
        <v>5</v>
      </c>
      <c r="W25" s="1387">
        <f>J25</f>
        <v>100</v>
      </c>
      <c r="X25" s="1380"/>
      <c r="Y25" s="385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5"/>
      <c r="Q26" s="1385" t="str">
        <f t="shared" si="8"/>
        <v>平面位置/可视性</v>
      </c>
      <c r="R26" s="1386" t="s">
        <v>5</v>
      </c>
      <c r="S26" s="1387">
        <f>F26</f>
        <v>100</v>
      </c>
      <c r="T26" s="1386" t="s">
        <v>5</v>
      </c>
      <c r="U26" s="1387">
        <f>H26</f>
        <v>100</v>
      </c>
      <c r="V26" s="1386" t="s">
        <v>5</v>
      </c>
      <c r="W26" s="1387">
        <f>J26</f>
        <v>100</v>
      </c>
      <c r="X26" s="1380"/>
      <c r="Y26" s="385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5"/>
      <c r="Q27" s="1050" t="str">
        <f t="shared" si="8"/>
        <v>人流量</v>
      </c>
      <c r="R27" s="1381" t="s">
        <v>5</v>
      </c>
      <c r="S27" s="1382">
        <f>F27</f>
        <v>100</v>
      </c>
      <c r="T27" s="1381" t="s">
        <v>5</v>
      </c>
      <c r="U27" s="1382">
        <f>H27</f>
        <v>100</v>
      </c>
      <c r="V27" s="1381" t="s">
        <v>5</v>
      </c>
      <c r="W27" s="1382">
        <f>J27</f>
        <v>100</v>
      </c>
      <c r="X27" s="1383"/>
      <c r="Y27" s="385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5"/>
      <c r="Q29" s="1385">
        <f t="shared" si="8"/>
        <v>111</v>
      </c>
      <c r="R29" s="1386" t="s">
        <v>5</v>
      </c>
      <c r="S29" s="1387">
        <f t="shared" si="9"/>
        <v>100</v>
      </c>
      <c r="T29" s="1386" t="s">
        <v>5</v>
      </c>
      <c r="U29" s="1387">
        <f t="shared" si="10"/>
        <v>100</v>
      </c>
      <c r="V29" s="1386" t="s">
        <v>5</v>
      </c>
      <c r="W29" s="1387">
        <f t="shared" si="11"/>
        <v>100</v>
      </c>
      <c r="X29" s="1380"/>
      <c r="Y29" s="385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5"/>
      <c r="Q30" s="1385">
        <f t="shared" si="8"/>
        <v>111</v>
      </c>
      <c r="R30" s="1386" t="s">
        <v>5</v>
      </c>
      <c r="S30" s="1387">
        <f t="shared" si="9"/>
        <v>100</v>
      </c>
      <c r="T30" s="1386" t="s">
        <v>5</v>
      </c>
      <c r="U30" s="1387">
        <f t="shared" si="10"/>
        <v>100</v>
      </c>
      <c r="V30" s="1386" t="s">
        <v>5</v>
      </c>
      <c r="W30" s="1387">
        <f t="shared" si="11"/>
        <v>100</v>
      </c>
      <c r="X30" s="1380"/>
      <c r="Y30" s="385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5"/>
      <c r="Q31" s="1385">
        <f t="shared" si="8"/>
        <v>111</v>
      </c>
      <c r="R31" s="1386" t="s">
        <v>5</v>
      </c>
      <c r="S31" s="1387">
        <f t="shared" si="9"/>
        <v>100</v>
      </c>
      <c r="T31" s="1386" t="s">
        <v>5</v>
      </c>
      <c r="U31" s="1387">
        <f t="shared" si="10"/>
        <v>100</v>
      </c>
      <c r="V31" s="1386" t="s">
        <v>5</v>
      </c>
      <c r="W31" s="1387">
        <f t="shared" si="11"/>
        <v>100</v>
      </c>
      <c r="X31" s="1380"/>
      <c r="Y31" s="385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6" t="s">
        <v>499</v>
      </c>
      <c r="Q32" s="1385" t="str">
        <f t="shared" si="8"/>
        <v>商业类型</v>
      </c>
      <c r="R32" s="1386" t="s">
        <v>5</v>
      </c>
      <c r="S32" s="1387">
        <f t="shared" si="9"/>
        <v>100</v>
      </c>
      <c r="T32" s="1386" t="s">
        <v>5</v>
      </c>
      <c r="U32" s="1387">
        <f t="shared" si="10"/>
        <v>100</v>
      </c>
      <c r="V32" s="1386" t="s">
        <v>5</v>
      </c>
      <c r="W32" s="1387">
        <f t="shared" si="11"/>
        <v>100</v>
      </c>
      <c r="X32" s="1380"/>
      <c r="Y32" s="385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7"/>
      <c r="Q33" s="1414" t="str">
        <f t="shared" si="8"/>
        <v>项目建筑规模</v>
      </c>
      <c r="R33" s="1390" t="s">
        <v>5</v>
      </c>
      <c r="S33" s="1391" t="e">
        <f t="shared" si="9"/>
        <v>#N/A</v>
      </c>
      <c r="T33" s="1390" t="s">
        <v>5</v>
      </c>
      <c r="U33" s="1391" t="e">
        <f t="shared" si="10"/>
        <v>#N/A</v>
      </c>
      <c r="V33" s="1390" t="s">
        <v>5</v>
      </c>
      <c r="W33" s="1391" t="e">
        <f t="shared" si="11"/>
        <v>#N/A</v>
      </c>
      <c r="X33" s="1392"/>
      <c r="Y33" s="385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7"/>
      <c r="Q34" s="1385" t="str">
        <f t="shared" si="8"/>
        <v>建筑结构</v>
      </c>
      <c r="R34" s="1386" t="s">
        <v>5</v>
      </c>
      <c r="S34" s="1387">
        <f t="shared" si="9"/>
        <v>100</v>
      </c>
      <c r="T34" s="1386" t="s">
        <v>5</v>
      </c>
      <c r="U34" s="1387">
        <f t="shared" si="10"/>
        <v>100</v>
      </c>
      <c r="V34" s="1386" t="s">
        <v>5</v>
      </c>
      <c r="W34" s="1387">
        <f t="shared" si="11"/>
        <v>100</v>
      </c>
      <c r="X34" s="1380"/>
      <c r="Y34" s="385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7"/>
      <c r="Q35" s="1385" t="str">
        <f t="shared" si="8"/>
        <v>公共部分装修</v>
      </c>
      <c r="R35" s="1386" t="s">
        <v>5</v>
      </c>
      <c r="S35" s="1387">
        <f t="shared" si="9"/>
        <v>100</v>
      </c>
      <c r="T35" s="1386" t="s">
        <v>5</v>
      </c>
      <c r="U35" s="1387">
        <f t="shared" si="10"/>
        <v>100</v>
      </c>
      <c r="V35" s="1386" t="s">
        <v>5</v>
      </c>
      <c r="W35" s="1387">
        <f t="shared" si="11"/>
        <v>100</v>
      </c>
      <c r="X35" s="1380"/>
      <c r="Y35" s="385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7"/>
      <c r="Q36" s="1385" t="str">
        <f t="shared" si="8"/>
        <v>成新度</v>
      </c>
      <c r="R36" s="1386" t="s">
        <v>5</v>
      </c>
      <c r="S36" s="1387" t="e">
        <f t="shared" si="9"/>
        <v>#N/A</v>
      </c>
      <c r="T36" s="1386" t="s">
        <v>5</v>
      </c>
      <c r="U36" s="1387" t="e">
        <f t="shared" si="10"/>
        <v>#N/A</v>
      </c>
      <c r="V36" s="1386" t="s">
        <v>5</v>
      </c>
      <c r="W36" s="1387" t="e">
        <f t="shared" si="11"/>
        <v>#N/A</v>
      </c>
      <c r="X36" s="1380"/>
      <c r="Y36" s="385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7"/>
      <c r="Q37" s="1050" t="str">
        <f t="shared" si="8"/>
        <v>市政基础设施</v>
      </c>
      <c r="R37" s="1381" t="s">
        <v>5</v>
      </c>
      <c r="S37" s="1382">
        <f t="shared" si="9"/>
        <v>100</v>
      </c>
      <c r="T37" s="1381" t="s">
        <v>5</v>
      </c>
      <c r="U37" s="1382">
        <f t="shared" si="10"/>
        <v>100</v>
      </c>
      <c r="V37" s="1381" t="s">
        <v>5</v>
      </c>
      <c r="W37" s="1382">
        <f t="shared" si="11"/>
        <v>100</v>
      </c>
      <c r="X37" s="1383"/>
      <c r="Y37" s="385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7" t="s">
        <v>706</v>
      </c>
      <c r="Q38" s="1385" t="str">
        <f t="shared" si="8"/>
        <v>业态</v>
      </c>
      <c r="R38" s="1386" t="s">
        <v>5</v>
      </c>
      <c r="S38" s="1387">
        <f t="shared" si="9"/>
        <v>100</v>
      </c>
      <c r="T38" s="1386" t="s">
        <v>5</v>
      </c>
      <c r="U38" s="1387">
        <f t="shared" si="10"/>
        <v>100</v>
      </c>
      <c r="V38" s="1386" t="s">
        <v>5</v>
      </c>
      <c r="W38" s="1387">
        <f t="shared" si="11"/>
        <v>100</v>
      </c>
      <c r="X38" s="1380"/>
      <c r="Y38" s="385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7"/>
      <c r="Q39" s="1385" t="str">
        <f t="shared" si="8"/>
        <v>层高</v>
      </c>
      <c r="R39" s="1386" t="s">
        <v>5</v>
      </c>
      <c r="S39" s="1387">
        <f t="shared" si="9"/>
        <v>100</v>
      </c>
      <c r="T39" s="1386" t="s">
        <v>5</v>
      </c>
      <c r="U39" s="1387">
        <f t="shared" si="10"/>
        <v>100</v>
      </c>
      <c r="V39" s="1386" t="s">
        <v>5</v>
      </c>
      <c r="W39" s="1387">
        <f t="shared" si="11"/>
        <v>100</v>
      </c>
      <c r="X39" s="1380"/>
      <c r="Y39" s="385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7"/>
      <c r="Q40" s="1385" t="str">
        <f t="shared" si="8"/>
        <v>单套建筑面积</v>
      </c>
      <c r="R40" s="1386" t="s">
        <v>5</v>
      </c>
      <c r="S40" s="1387">
        <f t="shared" si="9"/>
        <v>100</v>
      </c>
      <c r="T40" s="1386" t="s">
        <v>5</v>
      </c>
      <c r="U40" s="1387">
        <f t="shared" si="10"/>
        <v>100</v>
      </c>
      <c r="V40" s="1386" t="s">
        <v>5</v>
      </c>
      <c r="W40" s="1387">
        <f t="shared" si="11"/>
        <v>100</v>
      </c>
      <c r="X40" s="1380"/>
      <c r="Y40" s="385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7"/>
      <c r="Q41" s="1414" t="str">
        <f t="shared" si="8"/>
        <v>进深比</v>
      </c>
      <c r="R41" s="1390" t="s">
        <v>5</v>
      </c>
      <c r="S41" s="1391">
        <f t="shared" si="9"/>
        <v>100</v>
      </c>
      <c r="T41" s="1390" t="s">
        <v>5</v>
      </c>
      <c r="U41" s="1391">
        <f t="shared" si="10"/>
        <v>100</v>
      </c>
      <c r="V41" s="1390" t="s">
        <v>5</v>
      </c>
      <c r="W41" s="1391">
        <f t="shared" si="11"/>
        <v>100</v>
      </c>
      <c r="X41" s="1392"/>
      <c r="Y41" s="385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7"/>
      <c r="Q42" s="1385" t="str">
        <f t="shared" si="8"/>
        <v>内部装修</v>
      </c>
      <c r="R42" s="1386" t="s">
        <v>5</v>
      </c>
      <c r="S42" s="1387">
        <f t="shared" si="9"/>
        <v>100</v>
      </c>
      <c r="T42" s="1386" t="s">
        <v>5</v>
      </c>
      <c r="U42" s="1387">
        <f t="shared" si="10"/>
        <v>100</v>
      </c>
      <c r="V42" s="1386" t="s">
        <v>5</v>
      </c>
      <c r="W42" s="1387">
        <f t="shared" si="11"/>
        <v>100</v>
      </c>
      <c r="X42" s="1380"/>
      <c r="Y42" s="385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7"/>
      <c r="Q43" s="1385" t="str">
        <f t="shared" si="8"/>
        <v>内部装修维护情况</v>
      </c>
      <c r="R43" s="1386" t="s">
        <v>5</v>
      </c>
      <c r="S43" s="1387">
        <f t="shared" si="9"/>
        <v>100</v>
      </c>
      <c r="T43" s="1386" t="s">
        <v>5</v>
      </c>
      <c r="U43" s="1387">
        <f t="shared" si="10"/>
        <v>100</v>
      </c>
      <c r="V43" s="1386" t="s">
        <v>5</v>
      </c>
      <c r="W43" s="1387">
        <f t="shared" si="11"/>
        <v>100</v>
      </c>
      <c r="X43" s="1380"/>
      <c r="Y43" s="385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7"/>
      <c r="Q44" s="1050">
        <f t="shared" si="8"/>
        <v>111</v>
      </c>
      <c r="R44" s="1381" t="s">
        <v>5</v>
      </c>
      <c r="S44" s="1382">
        <f t="shared" si="9"/>
        <v>100</v>
      </c>
      <c r="T44" s="1381" t="s">
        <v>5</v>
      </c>
      <c r="U44" s="1382">
        <f t="shared" si="10"/>
        <v>100</v>
      </c>
      <c r="V44" s="1381" t="s">
        <v>5</v>
      </c>
      <c r="W44" s="1382">
        <f t="shared" si="11"/>
        <v>100</v>
      </c>
      <c r="X44" s="1383"/>
      <c r="Y44" s="385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7"/>
      <c r="Q45" s="1385">
        <f t="shared" si="8"/>
        <v>111</v>
      </c>
      <c r="R45" s="1386" t="s">
        <v>5</v>
      </c>
      <c r="S45" s="1387">
        <f t="shared" si="9"/>
        <v>100</v>
      </c>
      <c r="T45" s="1386" t="s">
        <v>5</v>
      </c>
      <c r="U45" s="1387">
        <f t="shared" si="10"/>
        <v>100</v>
      </c>
      <c r="V45" s="1386" t="s">
        <v>5</v>
      </c>
      <c r="W45" s="1387">
        <f t="shared" si="11"/>
        <v>100</v>
      </c>
      <c r="X45" s="1380"/>
      <c r="Y45" s="385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5"/>
      <c r="Q46" s="1385">
        <f t="shared" si="8"/>
        <v>111</v>
      </c>
      <c r="R46" s="1386" t="s">
        <v>5</v>
      </c>
      <c r="S46" s="1387">
        <f t="shared" si="9"/>
        <v>100</v>
      </c>
      <c r="T46" s="1386" t="s">
        <v>5</v>
      </c>
      <c r="U46" s="1387">
        <f t="shared" si="10"/>
        <v>100</v>
      </c>
      <c r="V46" s="1386" t="s">
        <v>5</v>
      </c>
      <c r="W46" s="1387">
        <f t="shared" si="11"/>
        <v>100</v>
      </c>
      <c r="X46" s="1380"/>
      <c r="Y46" s="396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2" t="str">
        <f>A47</f>
        <v>成交单价（元/平方米）</v>
      </c>
      <c r="Q47" s="3852"/>
      <c r="R47" s="3964">
        <f>E47</f>
        <v>0</v>
      </c>
      <c r="S47" s="3964"/>
      <c r="T47" s="3964">
        <f>G47</f>
        <v>0</v>
      </c>
      <c r="U47" s="3964"/>
      <c r="V47" s="3964">
        <f>I47</f>
        <v>0</v>
      </c>
      <c r="W47" s="3964"/>
      <c r="X47" s="1375"/>
      <c r="Y47" s="1394"/>
      <c r="Z47" s="1375"/>
      <c r="AA47" s="1375"/>
      <c r="AB47" s="1375"/>
      <c r="AC47" s="1375"/>
    </row>
    <row r="48" spans="1:29" ht="15.75" thickBot="1">
      <c r="A48" s="585" t="s">
        <v>2042</v>
      </c>
      <c r="B48" s="851"/>
      <c r="C48" s="2240" t="e">
        <f>R49</f>
        <v>#DIV/0!</v>
      </c>
      <c r="D48" s="2757" t="s">
        <v>2257</v>
      </c>
      <c r="E48" s="2241" t="e">
        <f>R48</f>
        <v>#DIV/0!</v>
      </c>
      <c r="F48" s="2758"/>
      <c r="G48" s="2240" t="e">
        <f>T48</f>
        <v>#DIV/0!</v>
      </c>
      <c r="H48" s="2758"/>
      <c r="I48" s="2241" t="e">
        <f>V48</f>
        <v>#DIV/0!</v>
      </c>
      <c r="J48" s="2758"/>
      <c r="K48" s="2766">
        <f>F48+H48+J48</f>
        <v>0</v>
      </c>
      <c r="L48" s="1867"/>
      <c r="M48" s="1868"/>
      <c r="N48" s="1857"/>
      <c r="O48" s="1868"/>
      <c r="P48" s="3852" t="str">
        <f>A48</f>
        <v>比较价格（元/平方米）</v>
      </c>
      <c r="Q48" s="3852"/>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1375"/>
      <c r="Y48" s="1375"/>
      <c r="Z48" s="1375"/>
      <c r="AA48" s="1375"/>
      <c r="AB48" s="1375"/>
      <c r="AC48" s="1375"/>
    </row>
    <row r="49" spans="1:29" ht="15.75" thickBot="1">
      <c r="A49" s="589" t="s">
        <v>2194</v>
      </c>
      <c r="B49" s="590"/>
      <c r="C49" s="2242" t="e">
        <f>R49</f>
        <v>#DIV/0!</v>
      </c>
      <c r="D49" s="2242"/>
      <c r="E49" s="2242"/>
      <c r="F49" s="2242"/>
      <c r="G49" s="2242"/>
      <c r="H49" s="2242"/>
      <c r="I49" s="2242"/>
      <c r="J49" s="2242"/>
      <c r="K49" s="1420"/>
      <c r="L49" s="1867"/>
      <c r="M49" s="1868"/>
      <c r="N49" s="1857"/>
      <c r="O49" s="1868"/>
      <c r="P49" s="3858" t="str">
        <f>A49</f>
        <v>估价对象XX用房的比较价格（楼面单价，元/平方米）</v>
      </c>
      <c r="Q49" s="3859"/>
      <c r="R49" s="3963" t="e">
        <f>IF(F1="售价",ROUND(IF(D48="简单平均",AVERAGE(R48:V48),R48*F48+T48*H48+V48*J48),0),ROUND(IF(D48="简单平均",AVERAGE(R48:V48),R48*F48+T48*H48+V48*J48),1))</f>
        <v>#DIV/0!</v>
      </c>
      <c r="S49" s="3963"/>
      <c r="T49" s="3963"/>
      <c r="U49" s="3963"/>
      <c r="V49" s="3963"/>
      <c r="W49" s="396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2023-1</v>
      </c>
      <c r="D58" s="2284">
        <f>EDATE(C58,-1)</f>
        <v>44896</v>
      </c>
      <c r="E58" s="2284">
        <f t="shared" ref="E58:O58" si="13">EDATE(D58,-1)</f>
        <v>44866</v>
      </c>
      <c r="F58" s="2284">
        <f t="shared" si="13"/>
        <v>44835</v>
      </c>
      <c r="G58" s="2284">
        <f t="shared" si="13"/>
        <v>44805</v>
      </c>
      <c r="H58" s="2284">
        <f t="shared" si="13"/>
        <v>44774</v>
      </c>
      <c r="I58" s="2284">
        <f t="shared" si="13"/>
        <v>44743</v>
      </c>
      <c r="J58" s="2284">
        <f t="shared" si="13"/>
        <v>44713</v>
      </c>
      <c r="K58" s="2284">
        <f t="shared" si="13"/>
        <v>44682</v>
      </c>
      <c r="L58" s="2284">
        <f t="shared" si="13"/>
        <v>44652</v>
      </c>
      <c r="M58" s="2284">
        <f t="shared" si="13"/>
        <v>44621</v>
      </c>
      <c r="N58" s="2284">
        <f t="shared" si="13"/>
        <v>44593</v>
      </c>
      <c r="O58" s="2284">
        <f t="shared" si="13"/>
        <v>44562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0" t="s">
        <v>471</v>
      </c>
      <c r="D4" s="3861"/>
      <c r="E4" s="3882" t="s">
        <v>472</v>
      </c>
      <c r="F4" s="3883"/>
      <c r="G4" s="3860" t="s">
        <v>473</v>
      </c>
      <c r="H4" s="3861"/>
      <c r="I4" s="3860" t="s">
        <v>474</v>
      </c>
      <c r="J4" s="3861"/>
      <c r="K4" s="484" t="s">
        <v>475</v>
      </c>
      <c r="L4" s="1856"/>
      <c r="M4" s="1857"/>
      <c r="N4" s="1857"/>
      <c r="O4" s="1857"/>
      <c r="P4" s="3966" t="s">
        <v>476</v>
      </c>
      <c r="Q4" s="3863"/>
      <c r="R4" s="3846" t="s">
        <v>472</v>
      </c>
      <c r="S4" s="3847"/>
      <c r="T4" s="3846" t="s">
        <v>473</v>
      </c>
      <c r="U4" s="3847"/>
      <c r="V4" s="3868" t="s">
        <v>474</v>
      </c>
      <c r="W4" s="3868"/>
      <c r="X4" s="1380"/>
      <c r="Y4" s="3846" t="s">
        <v>476</v>
      </c>
      <c r="Z4" s="3847"/>
      <c r="AA4" s="3841" t="s">
        <v>472</v>
      </c>
      <c r="AB4" s="3841" t="s">
        <v>473</v>
      </c>
      <c r="AC4" s="3841" t="s">
        <v>474</v>
      </c>
    </row>
    <row r="5" spans="1:29" ht="15">
      <c r="A5" s="485"/>
      <c r="B5" s="486"/>
      <c r="C5" s="3871" t="s">
        <v>2188</v>
      </c>
      <c r="D5" s="3872"/>
      <c r="E5" s="3884" t="s">
        <v>2189</v>
      </c>
      <c r="F5" s="3885"/>
      <c r="G5" s="3871" t="s">
        <v>2190</v>
      </c>
      <c r="H5" s="3872"/>
      <c r="I5" s="3871" t="s">
        <v>2191</v>
      </c>
      <c r="J5" s="3872"/>
      <c r="K5" s="484"/>
      <c r="L5" s="1856"/>
      <c r="M5" s="1857"/>
      <c r="N5" s="1857"/>
      <c r="O5" s="1857"/>
      <c r="P5" s="3967"/>
      <c r="Q5" s="3865"/>
      <c r="R5" s="3848"/>
      <c r="S5" s="3849"/>
      <c r="T5" s="3848"/>
      <c r="U5" s="3849"/>
      <c r="V5" s="3868"/>
      <c r="W5" s="3868"/>
      <c r="X5" s="1380"/>
      <c r="Y5" s="3848"/>
      <c r="Z5" s="3849"/>
      <c r="AA5" s="3842"/>
      <c r="AB5" s="3842"/>
      <c r="AC5" s="3842"/>
    </row>
    <row r="6" spans="1:29" ht="15.75" thickBot="1">
      <c r="A6" s="487"/>
      <c r="B6" s="488"/>
      <c r="C6" s="3869" t="s">
        <v>2192</v>
      </c>
      <c r="D6" s="3870"/>
      <c r="E6" s="3886" t="s">
        <v>2192</v>
      </c>
      <c r="F6" s="3887"/>
      <c r="G6" s="3869" t="s">
        <v>2192</v>
      </c>
      <c r="H6" s="3870"/>
      <c r="I6" s="3869" t="s">
        <v>2192</v>
      </c>
      <c r="J6" s="3870"/>
      <c r="K6" s="484" t="s">
        <v>477</v>
      </c>
      <c r="L6" s="1856"/>
      <c r="M6" s="1857"/>
      <c r="N6" s="1857"/>
      <c r="O6" s="1857"/>
      <c r="P6" s="3968"/>
      <c r="Q6" s="3867"/>
      <c r="R6" s="3848"/>
      <c r="S6" s="3849"/>
      <c r="T6" s="3850"/>
      <c r="U6" s="3851"/>
      <c r="V6" s="3868"/>
      <c r="W6" s="3868"/>
      <c r="X6" s="1380"/>
      <c r="Y6" s="3850"/>
      <c r="Z6" s="3851"/>
      <c r="AA6" s="3843"/>
      <c r="AB6" s="3843"/>
      <c r="AC6" s="3843"/>
    </row>
    <row r="7" spans="1:29" s="1118" customFormat="1" ht="15.75" thickBot="1">
      <c r="A7" s="2392"/>
      <c r="B7" s="2399"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3" t="s">
        <v>479</v>
      </c>
      <c r="Q7" s="3853"/>
      <c r="R7" s="1381" t="s">
        <v>5</v>
      </c>
      <c r="S7" s="1382">
        <f t="shared" ref="S7:S15" si="0">F7</f>
        <v>0</v>
      </c>
      <c r="T7" s="1381" t="s">
        <v>5</v>
      </c>
      <c r="U7" s="1382">
        <f t="shared" ref="U7:U15" si="1">H7</f>
        <v>0</v>
      </c>
      <c r="V7" s="1381" t="s">
        <v>5</v>
      </c>
      <c r="W7" s="1382">
        <f t="shared" ref="W7:W15"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3" t="s">
        <v>482</v>
      </c>
      <c r="Q8" s="3845"/>
      <c r="R8" s="1381" t="s">
        <v>5</v>
      </c>
      <c r="S8" s="1382">
        <f t="shared" si="0"/>
        <v>0</v>
      </c>
      <c r="T8" s="1381" t="s">
        <v>5</v>
      </c>
      <c r="U8" s="1382">
        <f t="shared" si="1"/>
        <v>0</v>
      </c>
      <c r="V8" s="1381" t="s">
        <v>5</v>
      </c>
      <c r="W8" s="1382">
        <f t="shared" si="2"/>
        <v>0</v>
      </c>
      <c r="X8" s="1383"/>
      <c r="Y8" s="3844" t="s">
        <v>482</v>
      </c>
      <c r="Z8" s="384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2" t="s">
        <v>484</v>
      </c>
      <c r="Q9" s="1050" t="str">
        <f t="shared" ref="Q9:Q15" si="6">B9</f>
        <v>用途</v>
      </c>
      <c r="R9" s="1381" t="s">
        <v>5</v>
      </c>
      <c r="S9" s="1382">
        <f t="shared" si="0"/>
        <v>100</v>
      </c>
      <c r="T9" s="1381" t="s">
        <v>5</v>
      </c>
      <c r="U9" s="1382">
        <f t="shared" si="1"/>
        <v>100</v>
      </c>
      <c r="V9" s="1381" t="s">
        <v>5</v>
      </c>
      <c r="W9" s="1382">
        <f t="shared" si="2"/>
        <v>100</v>
      </c>
      <c r="X9" s="1383"/>
      <c r="Y9" s="380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2"/>
      <c r="Q11" s="1050" t="str">
        <f t="shared" si="6"/>
        <v>容积率</v>
      </c>
      <c r="R11" s="1381" t="s">
        <v>5</v>
      </c>
      <c r="S11" s="1382" t="e">
        <f t="shared" si="0"/>
        <v>#N/A</v>
      </c>
      <c r="T11" s="1381" t="s">
        <v>5</v>
      </c>
      <c r="U11" s="1382" t="e">
        <f t="shared" si="1"/>
        <v>#N/A</v>
      </c>
      <c r="V11" s="1381" t="s">
        <v>5</v>
      </c>
      <c r="W11" s="1382" t="e">
        <f t="shared" si="2"/>
        <v>#N/A</v>
      </c>
      <c r="X11" s="1383"/>
      <c r="Y11" s="380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2"/>
      <c r="Q12" s="1050">
        <f t="shared" si="6"/>
        <v>111</v>
      </c>
      <c r="R12" s="1381" t="s">
        <v>5</v>
      </c>
      <c r="S12" s="1382">
        <f t="shared" si="0"/>
        <v>100</v>
      </c>
      <c r="T12" s="1381" t="s">
        <v>5</v>
      </c>
      <c r="U12" s="1382">
        <f t="shared" si="1"/>
        <v>100</v>
      </c>
      <c r="V12" s="1381" t="s">
        <v>5</v>
      </c>
      <c r="W12" s="1382">
        <f t="shared" si="2"/>
        <v>100</v>
      </c>
      <c r="X12" s="1383"/>
      <c r="Y12" s="380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2"/>
      <c r="Q13" s="1050">
        <f t="shared" si="6"/>
        <v>111</v>
      </c>
      <c r="R13" s="1381" t="s">
        <v>5</v>
      </c>
      <c r="S13" s="1382">
        <f t="shared" si="0"/>
        <v>100</v>
      </c>
      <c r="T13" s="1381" t="s">
        <v>5</v>
      </c>
      <c r="U13" s="1382">
        <f t="shared" si="1"/>
        <v>100</v>
      </c>
      <c r="V13" s="1381" t="s">
        <v>5</v>
      </c>
      <c r="W13" s="1382">
        <f t="shared" si="2"/>
        <v>100</v>
      </c>
      <c r="X13" s="1383"/>
      <c r="Y13" s="380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2"/>
      <c r="Q14" s="1050">
        <f t="shared" si="6"/>
        <v>111</v>
      </c>
      <c r="R14" s="1381" t="s">
        <v>5</v>
      </c>
      <c r="S14" s="1382">
        <f t="shared" si="0"/>
        <v>100</v>
      </c>
      <c r="T14" s="1381" t="s">
        <v>5</v>
      </c>
      <c r="U14" s="1382">
        <f t="shared" si="1"/>
        <v>100</v>
      </c>
      <c r="V14" s="1381" t="s">
        <v>5</v>
      </c>
      <c r="W14" s="1382">
        <f t="shared" si="2"/>
        <v>100</v>
      </c>
      <c r="X14" s="1383"/>
      <c r="Y14" s="3800"/>
      <c r="Z14" s="1049">
        <f t="shared" si="7"/>
        <v>111</v>
      </c>
      <c r="AA14" s="1384">
        <f t="shared" si="3"/>
        <v>1</v>
      </c>
      <c r="AB14" s="1384">
        <f t="shared" si="4"/>
        <v>1</v>
      </c>
      <c r="AC14" s="1384">
        <f t="shared" si="5"/>
        <v>1</v>
      </c>
    </row>
    <row r="15" spans="1:29" ht="71.25">
      <c r="A15" s="2390"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4" t="s">
        <v>489</v>
      </c>
      <c r="Q15" s="1385" t="str">
        <f t="shared" si="6"/>
        <v>办公集聚程度</v>
      </c>
      <c r="R15" s="1386" t="s">
        <v>5</v>
      </c>
      <c r="S15" s="1387">
        <f t="shared" si="0"/>
        <v>100</v>
      </c>
      <c r="T15" s="1386" t="s">
        <v>5</v>
      </c>
      <c r="U15" s="1387">
        <f t="shared" si="1"/>
        <v>100</v>
      </c>
      <c r="V15" s="1386" t="s">
        <v>5</v>
      </c>
      <c r="W15" s="1387">
        <f t="shared" si="2"/>
        <v>100</v>
      </c>
      <c r="X15" s="1380"/>
      <c r="Y15" s="385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5"/>
      <c r="Q16" s="1385"/>
      <c r="R16" s="1386"/>
      <c r="S16" s="1387"/>
      <c r="T16" s="1386"/>
      <c r="U16" s="1387"/>
      <c r="V16" s="1386"/>
      <c r="W16" s="1387"/>
      <c r="X16" s="1380"/>
      <c r="Y16" s="3855"/>
      <c r="Z16" s="1388"/>
      <c r="AA16" s="1389">
        <v>1</v>
      </c>
      <c r="AB16" s="1389">
        <v>1</v>
      </c>
      <c r="AC16" s="1389">
        <v>1</v>
      </c>
    </row>
    <row r="17" spans="1:29" ht="85.5">
      <c r="A17" s="502"/>
      <c r="B17" s="530" t="s">
        <v>262</v>
      </c>
      <c r="C17" s="543" t="str">
        <f>估价对象房地状况!C6</f>
        <v>估价对象周边道路状况一般、公共交通通达情况较差，有5、122路经过、停车便捷程度，综合评价交通便捷度一般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5"/>
      <c r="Q17" s="1385" t="str">
        <f>B17</f>
        <v>交通便捷度</v>
      </c>
      <c r="R17" s="1386" t="s">
        <v>5</v>
      </c>
      <c r="S17" s="1387">
        <f>F17</f>
        <v>100</v>
      </c>
      <c r="T17" s="1386" t="s">
        <v>5</v>
      </c>
      <c r="U17" s="1387">
        <f>H17</f>
        <v>100</v>
      </c>
      <c r="V17" s="1386" t="s">
        <v>5</v>
      </c>
      <c r="W17" s="1387">
        <f>J17</f>
        <v>100</v>
      </c>
      <c r="X17" s="1380"/>
      <c r="Y17" s="385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5"/>
      <c r="Q18" s="1385"/>
      <c r="R18" s="1386"/>
      <c r="S18" s="1387"/>
      <c r="T18" s="1386"/>
      <c r="U18" s="1387"/>
      <c r="V18" s="1386"/>
      <c r="W18" s="1387"/>
      <c r="X18" s="1380"/>
      <c r="Y18" s="3855"/>
      <c r="Z18" s="1388"/>
      <c r="AA18" s="1389">
        <v>1</v>
      </c>
      <c r="AB18" s="1389">
        <v>1</v>
      </c>
      <c r="AC18" s="1389">
        <v>1</v>
      </c>
    </row>
    <row r="19" spans="1:29" ht="42.75">
      <c r="A19" s="502"/>
      <c r="B19" s="2211" t="s">
        <v>1829</v>
      </c>
      <c r="C19" s="543" t="str">
        <f>估价对象房地状况!C7</f>
        <v>估价对象所在区域公共配套设施齐备情况较差</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5"/>
      <c r="Q19" s="1385" t="str">
        <f>B19</f>
        <v>公共配套设施</v>
      </c>
      <c r="R19" s="1386" t="s">
        <v>5</v>
      </c>
      <c r="S19" s="1387">
        <f>F19</f>
        <v>100</v>
      </c>
      <c r="T19" s="1386" t="s">
        <v>5</v>
      </c>
      <c r="U19" s="1387">
        <f>H19</f>
        <v>100</v>
      </c>
      <c r="V19" s="1386" t="s">
        <v>5</v>
      </c>
      <c r="W19" s="1387">
        <f>J19</f>
        <v>100</v>
      </c>
      <c r="X19" s="1380"/>
      <c r="Y19" s="385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5"/>
      <c r="Q20" s="1385"/>
      <c r="R20" s="1386"/>
      <c r="S20" s="1387"/>
      <c r="T20" s="1386"/>
      <c r="U20" s="1387"/>
      <c r="V20" s="1386"/>
      <c r="W20" s="1387"/>
      <c r="X20" s="1380"/>
      <c r="Y20" s="3855"/>
      <c r="Z20" s="1388"/>
      <c r="AA20" s="1389">
        <v>1</v>
      </c>
      <c r="AB20" s="1389">
        <v>1</v>
      </c>
      <c r="AC20" s="1389">
        <v>1</v>
      </c>
    </row>
    <row r="21" spans="1:29" ht="28.5">
      <c r="A21" s="502"/>
      <c r="B21" s="2199"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5"/>
      <c r="Q21" s="2193" t="str">
        <f>B21</f>
        <v>基础设施水平</v>
      </c>
      <c r="R21" s="1386" t="s">
        <v>5</v>
      </c>
      <c r="S21" s="1387">
        <f>F21</f>
        <v>100</v>
      </c>
      <c r="T21" s="1386" t="s">
        <v>5</v>
      </c>
      <c r="U21" s="1387">
        <f>H21</f>
        <v>100</v>
      </c>
      <c r="V21" s="1386" t="s">
        <v>5</v>
      </c>
      <c r="W21" s="1387">
        <f>J21</f>
        <v>100</v>
      </c>
      <c r="X21" s="2195"/>
      <c r="Y21" s="385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5"/>
      <c r="Q22" s="2193"/>
      <c r="R22" s="1386"/>
      <c r="S22" s="1387"/>
      <c r="T22" s="1386"/>
      <c r="U22" s="1387"/>
      <c r="V22" s="1386"/>
      <c r="W22" s="1387"/>
      <c r="X22" s="2195"/>
      <c r="Y22" s="3855"/>
      <c r="Z22" s="2194"/>
      <c r="AA22" s="1389">
        <v>1</v>
      </c>
      <c r="AB22" s="1389">
        <v>1</v>
      </c>
      <c r="AC22" s="1389">
        <v>1</v>
      </c>
    </row>
    <row r="23" spans="1:29" ht="57">
      <c r="A23" s="502"/>
      <c r="B23" s="530" t="s">
        <v>718</v>
      </c>
      <c r="C23" s="543" t="str">
        <f>估价对象房地状况!C9</f>
        <v>区域自然环境：；人文环境；综合评价环境状况较差</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5"/>
      <c r="Q23" s="1385" t="str">
        <f>B23</f>
        <v>环境质量</v>
      </c>
      <c r="R23" s="1386" t="s">
        <v>5</v>
      </c>
      <c r="S23" s="1387">
        <f>F23</f>
        <v>100</v>
      </c>
      <c r="T23" s="1386" t="s">
        <v>5</v>
      </c>
      <c r="U23" s="1387">
        <f>H23</f>
        <v>100</v>
      </c>
      <c r="V23" s="1386" t="s">
        <v>5</v>
      </c>
      <c r="W23" s="1387">
        <f>J23</f>
        <v>100</v>
      </c>
      <c r="X23" s="1380"/>
      <c r="Y23" s="385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5"/>
      <c r="Q24" s="1385"/>
      <c r="R24" s="1386"/>
      <c r="S24" s="1387"/>
      <c r="T24" s="1386"/>
      <c r="U24" s="1387"/>
      <c r="V24" s="1386"/>
      <c r="W24" s="1387"/>
      <c r="X24" s="1380"/>
      <c r="Y24" s="385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5"/>
      <c r="Q25" s="1385" t="str">
        <f>B25</f>
        <v>毗邻道路的类型与等级</v>
      </c>
      <c r="R25" s="1386" t="s">
        <v>5</v>
      </c>
      <c r="S25" s="1387">
        <f>F25</f>
        <v>100</v>
      </c>
      <c r="T25" s="1386" t="s">
        <v>5</v>
      </c>
      <c r="U25" s="1387">
        <f>H25</f>
        <v>100</v>
      </c>
      <c r="V25" s="1386" t="s">
        <v>5</v>
      </c>
      <c r="W25" s="1387">
        <f>J25</f>
        <v>100</v>
      </c>
      <c r="X25" s="1380"/>
      <c r="Y25" s="385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5"/>
      <c r="Q26" s="1385"/>
      <c r="R26" s="1386"/>
      <c r="S26" s="1387"/>
      <c r="T26" s="1386"/>
      <c r="U26" s="1387"/>
      <c r="V26" s="1386"/>
      <c r="W26" s="1387"/>
      <c r="X26" s="1380"/>
      <c r="Y26" s="385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5"/>
      <c r="Q27" s="1385" t="str">
        <f t="shared" ref="Q27:Q47" si="8">B27</f>
        <v>楼层</v>
      </c>
      <c r="R27" s="1386" t="s">
        <v>5</v>
      </c>
      <c r="S27" s="1387">
        <f>F27</f>
        <v>100</v>
      </c>
      <c r="T27" s="1386" t="s">
        <v>5</v>
      </c>
      <c r="U27" s="1387">
        <f>H27</f>
        <v>100</v>
      </c>
      <c r="V27" s="1386" t="s">
        <v>5</v>
      </c>
      <c r="W27" s="1387">
        <f>J27</f>
        <v>100</v>
      </c>
      <c r="X27" s="1380"/>
      <c r="Y27" s="385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5"/>
      <c r="Q28" s="1050" t="str">
        <f t="shared" si="8"/>
        <v>朝向</v>
      </c>
      <c r="R28" s="1381" t="s">
        <v>5</v>
      </c>
      <c r="S28" s="1382">
        <f>F28</f>
        <v>100</v>
      </c>
      <c r="T28" s="1381" t="s">
        <v>5</v>
      </c>
      <c r="U28" s="1382">
        <f>H28</f>
        <v>100</v>
      </c>
      <c r="V28" s="1381" t="s">
        <v>5</v>
      </c>
      <c r="W28" s="1382">
        <f>J28</f>
        <v>100</v>
      </c>
      <c r="X28" s="1383"/>
      <c r="Y28" s="385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5"/>
      <c r="Q29" s="1385">
        <f t="shared" si="8"/>
        <v>111</v>
      </c>
      <c r="R29" s="1386" t="s">
        <v>5</v>
      </c>
      <c r="S29" s="1387">
        <f t="shared" ref="S29:S47" si="9">F29</f>
        <v>100</v>
      </c>
      <c r="T29" s="1386" t="s">
        <v>5</v>
      </c>
      <c r="U29" s="1387">
        <f t="shared" ref="U29:U47" si="10">H29</f>
        <v>100</v>
      </c>
      <c r="V29" s="1386" t="s">
        <v>5</v>
      </c>
      <c r="W29" s="1387">
        <f t="shared" ref="W29:W47" si="11">J29</f>
        <v>100</v>
      </c>
      <c r="X29" s="1380"/>
      <c r="Y29" s="385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5"/>
      <c r="Q30" s="1385">
        <f t="shared" si="8"/>
        <v>111</v>
      </c>
      <c r="R30" s="1386" t="s">
        <v>5</v>
      </c>
      <c r="S30" s="1387">
        <f t="shared" si="9"/>
        <v>100</v>
      </c>
      <c r="T30" s="1386" t="s">
        <v>5</v>
      </c>
      <c r="U30" s="1387">
        <f t="shared" si="10"/>
        <v>100</v>
      </c>
      <c r="V30" s="1386" t="s">
        <v>5</v>
      </c>
      <c r="W30" s="1387">
        <f t="shared" si="11"/>
        <v>100</v>
      </c>
      <c r="X30" s="1380"/>
      <c r="Y30" s="385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5"/>
      <c r="Q31" s="1385">
        <f t="shared" si="8"/>
        <v>111</v>
      </c>
      <c r="R31" s="1386" t="s">
        <v>5</v>
      </c>
      <c r="S31" s="1387">
        <f t="shared" si="9"/>
        <v>100</v>
      </c>
      <c r="T31" s="1386" t="s">
        <v>5</v>
      </c>
      <c r="U31" s="1387">
        <f t="shared" si="10"/>
        <v>100</v>
      </c>
      <c r="V31" s="1386" t="s">
        <v>5</v>
      </c>
      <c r="W31" s="1387">
        <f t="shared" si="11"/>
        <v>100</v>
      </c>
      <c r="X31" s="1380"/>
      <c r="Y31" s="385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5"/>
      <c r="Q32" s="1385">
        <f t="shared" si="8"/>
        <v>111</v>
      </c>
      <c r="R32" s="1386" t="s">
        <v>5</v>
      </c>
      <c r="S32" s="1387">
        <f t="shared" si="9"/>
        <v>100</v>
      </c>
      <c r="T32" s="1386" t="s">
        <v>5</v>
      </c>
      <c r="U32" s="1387">
        <f t="shared" si="10"/>
        <v>100</v>
      </c>
      <c r="V32" s="1386" t="s">
        <v>5</v>
      </c>
      <c r="W32" s="1387">
        <f t="shared" si="11"/>
        <v>100</v>
      </c>
      <c r="X32" s="1380"/>
      <c r="Y32" s="385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6" t="s">
        <v>499</v>
      </c>
      <c r="Q33" s="1385" t="str">
        <f t="shared" si="8"/>
        <v>建筑类型</v>
      </c>
      <c r="R33" s="1386" t="s">
        <v>5</v>
      </c>
      <c r="S33" s="1387">
        <f t="shared" si="9"/>
        <v>100</v>
      </c>
      <c r="T33" s="1386" t="s">
        <v>5</v>
      </c>
      <c r="U33" s="1387">
        <f t="shared" si="10"/>
        <v>100</v>
      </c>
      <c r="V33" s="1386" t="s">
        <v>5</v>
      </c>
      <c r="W33" s="1387">
        <f t="shared" si="11"/>
        <v>100</v>
      </c>
      <c r="X33" s="1380"/>
      <c r="Y33" s="385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7"/>
      <c r="Q34" s="1414" t="str">
        <f t="shared" si="8"/>
        <v>项目建筑规模</v>
      </c>
      <c r="R34" s="1390" t="s">
        <v>5</v>
      </c>
      <c r="S34" s="1391" t="e">
        <f t="shared" si="9"/>
        <v>#N/A</v>
      </c>
      <c r="T34" s="1390" t="s">
        <v>5</v>
      </c>
      <c r="U34" s="1391" t="e">
        <f t="shared" si="10"/>
        <v>#N/A</v>
      </c>
      <c r="V34" s="1390" t="s">
        <v>5</v>
      </c>
      <c r="W34" s="1391" t="e">
        <f t="shared" si="11"/>
        <v>#N/A</v>
      </c>
      <c r="X34" s="1392"/>
      <c r="Y34" s="385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7"/>
      <c r="Q35" s="1385" t="str">
        <f t="shared" si="8"/>
        <v>建筑结构</v>
      </c>
      <c r="R35" s="1386" t="s">
        <v>5</v>
      </c>
      <c r="S35" s="1387">
        <f t="shared" si="9"/>
        <v>100</v>
      </c>
      <c r="T35" s="1386" t="s">
        <v>5</v>
      </c>
      <c r="U35" s="1387">
        <f t="shared" si="10"/>
        <v>100</v>
      </c>
      <c r="V35" s="1386" t="s">
        <v>5</v>
      </c>
      <c r="W35" s="1387">
        <f t="shared" si="11"/>
        <v>100</v>
      </c>
      <c r="X35" s="1380"/>
      <c r="Y35" s="385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7"/>
      <c r="Q36" s="1385" t="str">
        <f t="shared" si="8"/>
        <v>公共部分装修</v>
      </c>
      <c r="R36" s="1386" t="s">
        <v>5</v>
      </c>
      <c r="S36" s="1387">
        <f t="shared" si="9"/>
        <v>100</v>
      </c>
      <c r="T36" s="1386" t="s">
        <v>5</v>
      </c>
      <c r="U36" s="1387">
        <f t="shared" si="10"/>
        <v>100</v>
      </c>
      <c r="V36" s="1386" t="s">
        <v>5</v>
      </c>
      <c r="W36" s="1387">
        <f t="shared" si="11"/>
        <v>100</v>
      </c>
      <c r="X36" s="1380"/>
      <c r="Y36" s="385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7"/>
      <c r="Q37" s="1385" t="str">
        <f t="shared" si="8"/>
        <v>成新度</v>
      </c>
      <c r="R37" s="1386" t="s">
        <v>5</v>
      </c>
      <c r="S37" s="1387" t="e">
        <f t="shared" si="9"/>
        <v>#N/A</v>
      </c>
      <c r="T37" s="1386" t="s">
        <v>5</v>
      </c>
      <c r="U37" s="1387" t="e">
        <f t="shared" si="10"/>
        <v>#N/A</v>
      </c>
      <c r="V37" s="1386" t="s">
        <v>5</v>
      </c>
      <c r="W37" s="1387" t="e">
        <f t="shared" si="11"/>
        <v>#N/A</v>
      </c>
      <c r="X37" s="1380"/>
      <c r="Y37" s="385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7"/>
      <c r="Q38" s="1050" t="str">
        <f t="shared" si="8"/>
        <v>写字楼等级</v>
      </c>
      <c r="R38" s="1381" t="s">
        <v>5</v>
      </c>
      <c r="S38" s="1382">
        <f t="shared" si="9"/>
        <v>100</v>
      </c>
      <c r="T38" s="1381" t="s">
        <v>5</v>
      </c>
      <c r="U38" s="1382">
        <f t="shared" si="10"/>
        <v>100</v>
      </c>
      <c r="V38" s="1381" t="s">
        <v>5</v>
      </c>
      <c r="W38" s="1382">
        <f t="shared" si="11"/>
        <v>100</v>
      </c>
      <c r="X38" s="1383"/>
      <c r="Y38" s="385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7" t="s">
        <v>499</v>
      </c>
      <c r="Q39" s="1385" t="str">
        <f t="shared" si="8"/>
        <v>物业管理</v>
      </c>
      <c r="R39" s="1386" t="s">
        <v>5</v>
      </c>
      <c r="S39" s="1387">
        <f t="shared" si="9"/>
        <v>100</v>
      </c>
      <c r="T39" s="1386" t="s">
        <v>5</v>
      </c>
      <c r="U39" s="1387">
        <f t="shared" si="10"/>
        <v>100</v>
      </c>
      <c r="V39" s="1386" t="s">
        <v>5</v>
      </c>
      <c r="W39" s="1387">
        <f t="shared" si="11"/>
        <v>100</v>
      </c>
      <c r="X39" s="1380"/>
      <c r="Y39" s="385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7"/>
      <c r="Q40" s="1385" t="str">
        <f t="shared" si="8"/>
        <v>市政基础设施</v>
      </c>
      <c r="R40" s="1386" t="s">
        <v>5</v>
      </c>
      <c r="S40" s="1387">
        <f t="shared" si="9"/>
        <v>100</v>
      </c>
      <c r="T40" s="1386" t="s">
        <v>5</v>
      </c>
      <c r="U40" s="1387">
        <f t="shared" si="10"/>
        <v>100</v>
      </c>
      <c r="V40" s="1386" t="s">
        <v>5</v>
      </c>
      <c r="W40" s="1387">
        <f t="shared" si="11"/>
        <v>100</v>
      </c>
      <c r="X40" s="1380"/>
      <c r="Y40" s="385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7"/>
      <c r="Q41" s="1385" t="str">
        <f t="shared" si="8"/>
        <v>层高</v>
      </c>
      <c r="R41" s="1386" t="s">
        <v>5</v>
      </c>
      <c r="S41" s="1387">
        <f t="shared" si="9"/>
        <v>100</v>
      </c>
      <c r="T41" s="1386" t="s">
        <v>5</v>
      </c>
      <c r="U41" s="1387">
        <f t="shared" si="10"/>
        <v>100</v>
      </c>
      <c r="V41" s="1386" t="s">
        <v>5</v>
      </c>
      <c r="W41" s="1387">
        <f t="shared" si="11"/>
        <v>100</v>
      </c>
      <c r="X41" s="1380"/>
      <c r="Y41" s="385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7"/>
      <c r="Q42" s="1414" t="str">
        <f t="shared" si="8"/>
        <v>单套建筑面积</v>
      </c>
      <c r="R42" s="1390" t="s">
        <v>5</v>
      </c>
      <c r="S42" s="1391">
        <f t="shared" si="9"/>
        <v>100</v>
      </c>
      <c r="T42" s="1390" t="s">
        <v>5</v>
      </c>
      <c r="U42" s="1391">
        <f t="shared" si="10"/>
        <v>100</v>
      </c>
      <c r="V42" s="1390" t="s">
        <v>5</v>
      </c>
      <c r="W42" s="1391">
        <f t="shared" si="11"/>
        <v>100</v>
      </c>
      <c r="X42" s="1392"/>
      <c r="Y42" s="385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7"/>
      <c r="Q43" s="1385" t="str">
        <f t="shared" si="8"/>
        <v>内部装修</v>
      </c>
      <c r="R43" s="1386" t="s">
        <v>5</v>
      </c>
      <c r="S43" s="1387">
        <f t="shared" si="9"/>
        <v>100</v>
      </c>
      <c r="T43" s="1386" t="s">
        <v>5</v>
      </c>
      <c r="U43" s="1387">
        <f t="shared" si="10"/>
        <v>100</v>
      </c>
      <c r="V43" s="1386" t="s">
        <v>5</v>
      </c>
      <c r="W43" s="1387">
        <f t="shared" si="11"/>
        <v>100</v>
      </c>
      <c r="X43" s="1380"/>
      <c r="Y43" s="385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7"/>
      <c r="Q44" s="1385" t="str">
        <f t="shared" si="8"/>
        <v>内部装修维护情况</v>
      </c>
      <c r="R44" s="1386" t="s">
        <v>5</v>
      </c>
      <c r="S44" s="1387">
        <f t="shared" si="9"/>
        <v>100</v>
      </c>
      <c r="T44" s="1386" t="s">
        <v>5</v>
      </c>
      <c r="U44" s="1387">
        <f t="shared" si="10"/>
        <v>100</v>
      </c>
      <c r="V44" s="1386" t="s">
        <v>5</v>
      </c>
      <c r="W44" s="1387">
        <f t="shared" si="11"/>
        <v>100</v>
      </c>
      <c r="X44" s="1380"/>
      <c r="Y44" s="385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7"/>
      <c r="Q45" s="1050">
        <f t="shared" si="8"/>
        <v>111</v>
      </c>
      <c r="R45" s="1381" t="s">
        <v>5</v>
      </c>
      <c r="S45" s="1382">
        <f t="shared" si="9"/>
        <v>100</v>
      </c>
      <c r="T45" s="1381" t="s">
        <v>5</v>
      </c>
      <c r="U45" s="1382">
        <f t="shared" si="10"/>
        <v>100</v>
      </c>
      <c r="V45" s="1381" t="s">
        <v>5</v>
      </c>
      <c r="W45" s="1382">
        <f t="shared" si="11"/>
        <v>100</v>
      </c>
      <c r="X45" s="1383"/>
      <c r="Y45" s="385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7"/>
      <c r="Q46" s="1385">
        <f t="shared" si="8"/>
        <v>111</v>
      </c>
      <c r="R46" s="1386" t="s">
        <v>5</v>
      </c>
      <c r="S46" s="1387">
        <f t="shared" si="9"/>
        <v>100</v>
      </c>
      <c r="T46" s="1386" t="s">
        <v>5</v>
      </c>
      <c r="U46" s="1387">
        <f t="shared" si="10"/>
        <v>100</v>
      </c>
      <c r="V46" s="1386" t="s">
        <v>5</v>
      </c>
      <c r="W46" s="1387">
        <f t="shared" si="11"/>
        <v>100</v>
      </c>
      <c r="X46" s="1380"/>
      <c r="Y46" s="385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5"/>
      <c r="Q47" s="1385">
        <f t="shared" si="8"/>
        <v>111</v>
      </c>
      <c r="R47" s="1386" t="s">
        <v>5</v>
      </c>
      <c r="S47" s="1387">
        <f t="shared" si="9"/>
        <v>100</v>
      </c>
      <c r="T47" s="1386" t="s">
        <v>5</v>
      </c>
      <c r="U47" s="1387">
        <f t="shared" si="10"/>
        <v>100</v>
      </c>
      <c r="V47" s="1386" t="s">
        <v>5</v>
      </c>
      <c r="W47" s="1387">
        <f t="shared" si="11"/>
        <v>100</v>
      </c>
      <c r="X47" s="1380"/>
      <c r="Y47" s="396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59" t="str">
        <f>A48</f>
        <v>成交单价（元/平方米）</v>
      </c>
      <c r="Q48" s="3852"/>
      <c r="R48" s="3964">
        <f>E48</f>
        <v>0</v>
      </c>
      <c r="S48" s="3964"/>
      <c r="T48" s="3964">
        <f>G48</f>
        <v>0</v>
      </c>
      <c r="U48" s="3964"/>
      <c r="V48" s="3964">
        <f>I48</f>
        <v>0</v>
      </c>
      <c r="W48" s="3964"/>
      <c r="X48" s="1375"/>
      <c r="Y48" s="1394"/>
      <c r="Z48" s="1375"/>
      <c r="AA48" s="1375"/>
      <c r="AB48" s="1375"/>
      <c r="AC48" s="1375"/>
    </row>
    <row r="49" spans="1:29" ht="15.75" thickBot="1">
      <c r="A49" s="585" t="s">
        <v>2042</v>
      </c>
      <c r="B49" s="851"/>
      <c r="C49" s="2240" t="e">
        <f>R50</f>
        <v>#DIV/0!</v>
      </c>
      <c r="D49" s="2757" t="s">
        <v>2257</v>
      </c>
      <c r="E49" s="2241" t="e">
        <f>R49</f>
        <v>#DIV/0!</v>
      </c>
      <c r="F49" s="2758"/>
      <c r="G49" s="2240" t="e">
        <f>T49</f>
        <v>#DIV/0!</v>
      </c>
      <c r="H49" s="2758"/>
      <c r="I49" s="2241" t="e">
        <f>V49</f>
        <v>#DIV/0!</v>
      </c>
      <c r="J49" s="2758"/>
      <c r="K49" s="2766">
        <f>F49+H49+J49</f>
        <v>0</v>
      </c>
      <c r="L49" s="1867"/>
      <c r="M49" s="1857"/>
      <c r="N49" s="1857"/>
      <c r="O49" s="1857"/>
      <c r="P49" s="3859" t="str">
        <f>A49</f>
        <v>比较价格（元/平方米）</v>
      </c>
      <c r="Q49" s="3852"/>
      <c r="R49" s="3964" t="e">
        <f>IF(F1="售价",ROUND(PRODUCT(R48,AA7:AA47),0),ROUND(PRODUCT(R48,AA7:AA47),1))</f>
        <v>#DIV/0!</v>
      </c>
      <c r="S49" s="3964"/>
      <c r="T49" s="3964" t="e">
        <f>IF(F1="售价",ROUND(PRODUCT(T48,AB7:AB47),0),ROUND(PRODUCT(T48,AB7:AB47),1))</f>
        <v>#DIV/0!</v>
      </c>
      <c r="U49" s="3964"/>
      <c r="V49" s="3964" t="e">
        <f>IF(F1="售价",ROUND(PRODUCT(V48,AC7:AC47),0),ROUND(PRODUCT(V48,AC7:AC47),1))</f>
        <v>#DIV/0!</v>
      </c>
      <c r="W49" s="3964"/>
      <c r="X49" s="1375"/>
      <c r="Y49" s="1375"/>
      <c r="Z49" s="1375"/>
      <c r="AA49" s="1375"/>
      <c r="AB49" s="1375"/>
      <c r="AC49" s="1375"/>
    </row>
    <row r="50" spans="1:29" ht="15.75" thickBot="1">
      <c r="A50" s="589" t="s">
        <v>2194</v>
      </c>
      <c r="B50" s="590"/>
      <c r="C50" s="2242" t="e">
        <f>R50</f>
        <v>#DIV/0!</v>
      </c>
      <c r="D50" s="2242"/>
      <c r="E50" s="2242"/>
      <c r="F50" s="2242"/>
      <c r="G50" s="2242"/>
      <c r="H50" s="2242"/>
      <c r="I50" s="2242"/>
      <c r="J50" s="2242"/>
      <c r="K50" s="1420"/>
      <c r="L50" s="1867"/>
      <c r="M50" s="1857"/>
      <c r="N50" s="1857"/>
      <c r="O50" s="1857"/>
      <c r="P50" s="3969" t="str">
        <f>A50</f>
        <v>估价对象XX用房的比较价格（楼面单价，元/平方米）</v>
      </c>
      <c r="Q50" s="3859"/>
      <c r="R50" s="3963" t="e">
        <f>IF(F1="售价",ROUND(IF(D49="简单平均",AVERAGE(R49:V49),R49*F49+T49*H49+V49*J49),0),ROUND(IF(D49="简单平均",AVERAGE(R49:V49),R49*F49+T49*H49+V49*J49),1))</f>
        <v>#DIV/0!</v>
      </c>
      <c r="S50" s="3963"/>
      <c r="T50" s="3963"/>
      <c r="U50" s="3963"/>
      <c r="V50" s="3963"/>
      <c r="W50" s="396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2023-1</v>
      </c>
      <c r="D59" s="2284">
        <f>EDATE(C59,-1)</f>
        <v>44896</v>
      </c>
      <c r="E59" s="2284">
        <f t="shared" ref="E59:O59" si="13">EDATE(D59,-1)</f>
        <v>44866</v>
      </c>
      <c r="F59" s="2284">
        <f t="shared" si="13"/>
        <v>44835</v>
      </c>
      <c r="G59" s="2284">
        <f t="shared" si="13"/>
        <v>44805</v>
      </c>
      <c r="H59" s="2284">
        <f t="shared" si="13"/>
        <v>44774</v>
      </c>
      <c r="I59" s="2284">
        <f t="shared" si="13"/>
        <v>44743</v>
      </c>
      <c r="J59" s="2284">
        <f t="shared" si="13"/>
        <v>44713</v>
      </c>
      <c r="K59" s="2284">
        <f t="shared" si="13"/>
        <v>44682</v>
      </c>
      <c r="L59" s="2284">
        <f t="shared" si="13"/>
        <v>44652</v>
      </c>
      <c r="M59" s="2284">
        <f t="shared" si="13"/>
        <v>44621</v>
      </c>
      <c r="N59" s="2284">
        <f t="shared" si="13"/>
        <v>44593</v>
      </c>
      <c r="O59" s="2284">
        <f t="shared" si="13"/>
        <v>44562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0" t="s">
        <v>471</v>
      </c>
      <c r="D4" s="3861"/>
      <c r="E4" s="3882" t="s">
        <v>472</v>
      </c>
      <c r="F4" s="3883"/>
      <c r="G4" s="3860" t="s">
        <v>473</v>
      </c>
      <c r="H4" s="3861"/>
      <c r="I4" s="3860" t="s">
        <v>474</v>
      </c>
      <c r="J4" s="3861"/>
      <c r="K4" s="484" t="s">
        <v>475</v>
      </c>
      <c r="L4" s="1856"/>
      <c r="M4" s="1857"/>
      <c r="N4" s="1857"/>
      <c r="O4" s="1857"/>
      <c r="P4" s="3862" t="s">
        <v>476</v>
      </c>
      <c r="Q4" s="3863"/>
      <c r="R4" s="3846" t="s">
        <v>472</v>
      </c>
      <c r="S4" s="3847"/>
      <c r="T4" s="3846" t="s">
        <v>473</v>
      </c>
      <c r="U4" s="3847"/>
      <c r="V4" s="3868" t="s">
        <v>474</v>
      </c>
      <c r="W4" s="3868"/>
      <c r="X4" s="1380"/>
      <c r="Y4" s="3846" t="s">
        <v>476</v>
      </c>
      <c r="Z4" s="3847"/>
      <c r="AA4" s="3841" t="s">
        <v>472</v>
      </c>
      <c r="AB4" s="3842" t="s">
        <v>473</v>
      </c>
      <c r="AC4" s="3841" t="s">
        <v>474</v>
      </c>
    </row>
    <row r="5" spans="1:29" ht="15">
      <c r="A5" s="485"/>
      <c r="B5" s="486"/>
      <c r="C5" s="3871" t="s">
        <v>2188</v>
      </c>
      <c r="D5" s="3872"/>
      <c r="E5" s="3884" t="s">
        <v>2189</v>
      </c>
      <c r="F5" s="3885"/>
      <c r="G5" s="3871" t="s">
        <v>2190</v>
      </c>
      <c r="H5" s="3872"/>
      <c r="I5" s="3871" t="s">
        <v>2191</v>
      </c>
      <c r="J5" s="3872"/>
      <c r="K5" s="484"/>
      <c r="L5" s="1856"/>
      <c r="M5" s="1857"/>
      <c r="N5" s="1857"/>
      <c r="O5" s="1857"/>
      <c r="P5" s="3864"/>
      <c r="Q5" s="3865"/>
      <c r="R5" s="3848"/>
      <c r="S5" s="3849"/>
      <c r="T5" s="3848"/>
      <c r="U5" s="3849"/>
      <c r="V5" s="3868"/>
      <c r="W5" s="3868"/>
      <c r="X5" s="1380"/>
      <c r="Y5" s="3848"/>
      <c r="Z5" s="3849"/>
      <c r="AA5" s="3842"/>
      <c r="AB5" s="3842"/>
      <c r="AC5" s="3842"/>
    </row>
    <row r="6" spans="1:29" ht="15.75" thickBot="1">
      <c r="A6" s="487"/>
      <c r="B6" s="488"/>
      <c r="C6" s="3869" t="s">
        <v>2192</v>
      </c>
      <c r="D6" s="3870"/>
      <c r="E6" s="3886" t="s">
        <v>2192</v>
      </c>
      <c r="F6" s="3887"/>
      <c r="G6" s="3869" t="s">
        <v>2192</v>
      </c>
      <c r="H6" s="3870"/>
      <c r="I6" s="3869" t="s">
        <v>2192</v>
      </c>
      <c r="J6" s="3870"/>
      <c r="K6" s="484" t="s">
        <v>477</v>
      </c>
      <c r="L6" s="1856"/>
      <c r="M6" s="1857"/>
      <c r="N6" s="1857"/>
      <c r="O6" s="1857"/>
      <c r="P6" s="3866"/>
      <c r="Q6" s="3867"/>
      <c r="R6" s="3848"/>
      <c r="S6" s="3849"/>
      <c r="T6" s="3850"/>
      <c r="U6" s="3851"/>
      <c r="V6" s="3868"/>
      <c r="W6" s="3868"/>
      <c r="X6" s="1380"/>
      <c r="Y6" s="3850"/>
      <c r="Z6" s="3851"/>
      <c r="AA6" s="3843"/>
      <c r="AB6" s="3843"/>
      <c r="AC6" s="3843"/>
    </row>
    <row r="7" spans="1:29" s="1118" customFormat="1" ht="15.75" thickBot="1">
      <c r="A7" s="2392"/>
      <c r="B7" s="2399"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4" t="s">
        <v>479</v>
      </c>
      <c r="Q7" s="3853"/>
      <c r="R7" s="1381" t="s">
        <v>5</v>
      </c>
      <c r="S7" s="1382">
        <f t="shared" ref="S7:S15" si="0">F7</f>
        <v>0</v>
      </c>
      <c r="T7" s="1381" t="s">
        <v>5</v>
      </c>
      <c r="U7" s="1382">
        <f t="shared" ref="U7:U15" si="1">H7</f>
        <v>0</v>
      </c>
      <c r="V7" s="1381" t="s">
        <v>5</v>
      </c>
      <c r="W7" s="1382">
        <f t="shared" ref="W7:W15"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4" t="s">
        <v>482</v>
      </c>
      <c r="Q8" s="3845"/>
      <c r="R8" s="1381" t="s">
        <v>5</v>
      </c>
      <c r="S8" s="1382">
        <f t="shared" si="0"/>
        <v>0</v>
      </c>
      <c r="T8" s="1381" t="s">
        <v>5</v>
      </c>
      <c r="U8" s="1382">
        <f t="shared" si="1"/>
        <v>0</v>
      </c>
      <c r="V8" s="1381" t="s">
        <v>5</v>
      </c>
      <c r="W8" s="1382">
        <f t="shared" si="2"/>
        <v>0</v>
      </c>
      <c r="X8" s="1383"/>
      <c r="Y8" s="3844" t="s">
        <v>482</v>
      </c>
      <c r="Z8" s="3845"/>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0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2"/>
      <c r="Q11" s="1050" t="str">
        <f t="shared" si="6"/>
        <v>容积率</v>
      </c>
      <c r="R11" s="1381" t="s">
        <v>5</v>
      </c>
      <c r="S11" s="1382" t="e">
        <f t="shared" si="0"/>
        <v>#N/A</v>
      </c>
      <c r="T11" s="1381" t="s">
        <v>5</v>
      </c>
      <c r="U11" s="1382" t="e">
        <f t="shared" si="1"/>
        <v>#N/A</v>
      </c>
      <c r="V11" s="1381" t="s">
        <v>5</v>
      </c>
      <c r="W11" s="1382" t="e">
        <f t="shared" si="2"/>
        <v>#N/A</v>
      </c>
      <c r="X11" s="1383"/>
      <c r="Y11" s="380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0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0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2"/>
      <c r="Q14" s="1050">
        <f t="shared" si="6"/>
        <v>111</v>
      </c>
      <c r="R14" s="1381" t="s">
        <v>5</v>
      </c>
      <c r="S14" s="1382">
        <f t="shared" si="0"/>
        <v>100</v>
      </c>
      <c r="T14" s="1381" t="s">
        <v>5</v>
      </c>
      <c r="U14" s="1382">
        <f t="shared" si="1"/>
        <v>100</v>
      </c>
      <c r="V14" s="1381" t="s">
        <v>5</v>
      </c>
      <c r="W14" s="1382">
        <f t="shared" si="2"/>
        <v>100</v>
      </c>
      <c r="X14" s="1383"/>
      <c r="Y14" s="380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4" t="s">
        <v>489</v>
      </c>
      <c r="Q15" s="1385" t="str">
        <f t="shared" si="6"/>
        <v>产业集聚程度</v>
      </c>
      <c r="R15" s="1386" t="s">
        <v>5</v>
      </c>
      <c r="S15" s="1387">
        <f t="shared" si="0"/>
        <v>100</v>
      </c>
      <c r="T15" s="1386" t="s">
        <v>5</v>
      </c>
      <c r="U15" s="1387">
        <f t="shared" si="1"/>
        <v>100</v>
      </c>
      <c r="V15" s="1386" t="s">
        <v>5</v>
      </c>
      <c r="W15" s="1387">
        <f t="shared" si="2"/>
        <v>100</v>
      </c>
      <c r="X15" s="1380"/>
      <c r="Y15" s="385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5"/>
      <c r="Q16" s="1385"/>
      <c r="R16" s="1386"/>
      <c r="S16" s="1387"/>
      <c r="T16" s="1386"/>
      <c r="U16" s="1387"/>
      <c r="V16" s="1386"/>
      <c r="W16" s="1387"/>
      <c r="X16" s="1380"/>
      <c r="Y16" s="3855"/>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5"/>
      <c r="Q17" s="1385" t="str">
        <f>B17</f>
        <v>交通便捷度</v>
      </c>
      <c r="R17" s="1386" t="s">
        <v>5</v>
      </c>
      <c r="S17" s="1387">
        <f>F17</f>
        <v>100</v>
      </c>
      <c r="T17" s="1386" t="s">
        <v>5</v>
      </c>
      <c r="U17" s="1387">
        <f>H17</f>
        <v>100</v>
      </c>
      <c r="V17" s="1386" t="s">
        <v>5</v>
      </c>
      <c r="W17" s="1387">
        <f>J17</f>
        <v>100</v>
      </c>
      <c r="X17" s="1380"/>
      <c r="Y17" s="385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5"/>
      <c r="Q18" s="1385"/>
      <c r="R18" s="1386"/>
      <c r="S18" s="1387"/>
      <c r="T18" s="1386"/>
      <c r="U18" s="1387"/>
      <c r="V18" s="1386"/>
      <c r="W18" s="1387"/>
      <c r="X18" s="1380"/>
      <c r="Y18" s="3855"/>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5"/>
      <c r="Q19" s="1385" t="str">
        <f>B19</f>
        <v>公共配套设施</v>
      </c>
      <c r="R19" s="1386" t="s">
        <v>5</v>
      </c>
      <c r="S19" s="1387">
        <f>F19</f>
        <v>100</v>
      </c>
      <c r="T19" s="1386" t="s">
        <v>5</v>
      </c>
      <c r="U19" s="1387">
        <f>H19</f>
        <v>100</v>
      </c>
      <c r="V19" s="1386" t="s">
        <v>5</v>
      </c>
      <c r="W19" s="1387">
        <f>J19</f>
        <v>100</v>
      </c>
      <c r="X19" s="1380"/>
      <c r="Y19" s="385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5"/>
      <c r="Q20" s="1385"/>
      <c r="R20" s="1386"/>
      <c r="S20" s="1387"/>
      <c r="T20" s="1386"/>
      <c r="U20" s="1387"/>
      <c r="V20" s="1386"/>
      <c r="W20" s="1387"/>
      <c r="X20" s="1380"/>
      <c r="Y20" s="3855"/>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5"/>
      <c r="Q21" s="2193" t="str">
        <f>B21</f>
        <v>基础设施水平</v>
      </c>
      <c r="R21" s="1386" t="s">
        <v>5</v>
      </c>
      <c r="S21" s="1387">
        <f>F21</f>
        <v>100</v>
      </c>
      <c r="T21" s="1386" t="s">
        <v>5</v>
      </c>
      <c r="U21" s="1387">
        <f>H21</f>
        <v>100</v>
      </c>
      <c r="V21" s="1386" t="s">
        <v>5</v>
      </c>
      <c r="W21" s="1387">
        <f>J21</f>
        <v>100</v>
      </c>
      <c r="X21" s="2195"/>
      <c r="Y21" s="385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5"/>
      <c r="Q22" s="2193"/>
      <c r="R22" s="1386"/>
      <c r="S22" s="1387"/>
      <c r="T22" s="1386"/>
      <c r="U22" s="1387"/>
      <c r="V22" s="1386"/>
      <c r="W22" s="1387"/>
      <c r="X22" s="2195"/>
      <c r="Y22" s="3855"/>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5"/>
      <c r="Q23" s="1385" t="str">
        <f>B23</f>
        <v>环境质量</v>
      </c>
      <c r="R23" s="1386" t="s">
        <v>5</v>
      </c>
      <c r="S23" s="1387">
        <f>F23</f>
        <v>100</v>
      </c>
      <c r="T23" s="1386" t="s">
        <v>5</v>
      </c>
      <c r="U23" s="1387">
        <f>H23</f>
        <v>100</v>
      </c>
      <c r="V23" s="1386" t="s">
        <v>5</v>
      </c>
      <c r="W23" s="1387">
        <f>J23</f>
        <v>100</v>
      </c>
      <c r="X23" s="1380"/>
      <c r="Y23" s="385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5"/>
      <c r="Q24" s="1385"/>
      <c r="R24" s="1386"/>
      <c r="S24" s="1387"/>
      <c r="T24" s="1386"/>
      <c r="U24" s="1387"/>
      <c r="V24" s="1386"/>
      <c r="W24" s="1387"/>
      <c r="X24" s="1380"/>
      <c r="Y24" s="385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5"/>
      <c r="Q25" s="1385">
        <f>B25</f>
        <v>111</v>
      </c>
      <c r="R25" s="1386" t="s">
        <v>5</v>
      </c>
      <c r="S25" s="1387">
        <f>F25</f>
        <v>100</v>
      </c>
      <c r="T25" s="1386" t="s">
        <v>5</v>
      </c>
      <c r="U25" s="1387">
        <f>H25</f>
        <v>100</v>
      </c>
      <c r="V25" s="1386" t="s">
        <v>5</v>
      </c>
      <c r="W25" s="1387">
        <f>J25</f>
        <v>100</v>
      </c>
      <c r="X25" s="1380"/>
      <c r="Y25" s="385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5"/>
      <c r="Q26" s="1385">
        <f t="shared" ref="Q26:Q40" si="8">B26</f>
        <v>111</v>
      </c>
      <c r="R26" s="1386" t="s">
        <v>5</v>
      </c>
      <c r="S26" s="1387">
        <f>F26</f>
        <v>100</v>
      </c>
      <c r="T26" s="1386" t="s">
        <v>5</v>
      </c>
      <c r="U26" s="1387">
        <f>H26</f>
        <v>100</v>
      </c>
      <c r="V26" s="1386" t="s">
        <v>5</v>
      </c>
      <c r="W26" s="1387">
        <f>J26</f>
        <v>100</v>
      </c>
      <c r="X26" s="1380"/>
      <c r="Y26" s="385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5"/>
      <c r="Q27" s="1050">
        <f t="shared" si="8"/>
        <v>111</v>
      </c>
      <c r="R27" s="1381" t="s">
        <v>5</v>
      </c>
      <c r="S27" s="1382">
        <f>F27</f>
        <v>100</v>
      </c>
      <c r="T27" s="1381" t="s">
        <v>5</v>
      </c>
      <c r="U27" s="1382">
        <f>H27</f>
        <v>100</v>
      </c>
      <c r="V27" s="1381" t="s">
        <v>5</v>
      </c>
      <c r="W27" s="1382">
        <f>J27</f>
        <v>100</v>
      </c>
      <c r="X27" s="1383"/>
      <c r="Y27" s="385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5"/>
      <c r="Q28" s="1385">
        <f t="shared" si="8"/>
        <v>111</v>
      </c>
      <c r="R28" s="1386" t="s">
        <v>5</v>
      </c>
      <c r="S28" s="1387">
        <f t="shared" ref="S28:S40" si="9">F28</f>
        <v>100</v>
      </c>
      <c r="T28" s="1386" t="s">
        <v>5</v>
      </c>
      <c r="U28" s="1387">
        <f t="shared" ref="U28:U40" si="10">H28</f>
        <v>100</v>
      </c>
      <c r="V28" s="1386" t="s">
        <v>5</v>
      </c>
      <c r="W28" s="1387">
        <f t="shared" ref="W28:W40" si="11">J28</f>
        <v>100</v>
      </c>
      <c r="X28" s="1380"/>
      <c r="Y28" s="385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6" t="s">
        <v>499</v>
      </c>
      <c r="Q29" s="1385" t="str">
        <f t="shared" si="8"/>
        <v>建筑类型</v>
      </c>
      <c r="R29" s="1386" t="s">
        <v>5</v>
      </c>
      <c r="S29" s="1387">
        <f t="shared" si="9"/>
        <v>100</v>
      </c>
      <c r="T29" s="1386" t="s">
        <v>5</v>
      </c>
      <c r="U29" s="1387">
        <f t="shared" si="10"/>
        <v>100</v>
      </c>
      <c r="V29" s="1386" t="s">
        <v>5</v>
      </c>
      <c r="W29" s="1387">
        <f t="shared" si="11"/>
        <v>100</v>
      </c>
      <c r="X29" s="1380"/>
      <c r="Y29" s="385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7"/>
      <c r="Q30" s="1414" t="str">
        <f t="shared" si="8"/>
        <v>项目建筑规模</v>
      </c>
      <c r="R30" s="1390" t="s">
        <v>5</v>
      </c>
      <c r="S30" s="1391" t="e">
        <f t="shared" si="9"/>
        <v>#N/A</v>
      </c>
      <c r="T30" s="1390" t="s">
        <v>5</v>
      </c>
      <c r="U30" s="1391" t="e">
        <f t="shared" si="10"/>
        <v>#N/A</v>
      </c>
      <c r="V30" s="1390" t="s">
        <v>5</v>
      </c>
      <c r="W30" s="1391" t="e">
        <f t="shared" si="11"/>
        <v>#N/A</v>
      </c>
      <c r="X30" s="1392"/>
      <c r="Y30" s="385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7"/>
      <c r="Q31" s="1385" t="str">
        <f t="shared" si="8"/>
        <v>建筑结构</v>
      </c>
      <c r="R31" s="1386" t="s">
        <v>5</v>
      </c>
      <c r="S31" s="1387">
        <f t="shared" si="9"/>
        <v>100</v>
      </c>
      <c r="T31" s="1386" t="s">
        <v>5</v>
      </c>
      <c r="U31" s="1387">
        <f t="shared" si="10"/>
        <v>100</v>
      </c>
      <c r="V31" s="1386" t="s">
        <v>5</v>
      </c>
      <c r="W31" s="1387">
        <f t="shared" si="11"/>
        <v>100</v>
      </c>
      <c r="X31" s="1380"/>
      <c r="Y31" s="385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7"/>
      <c r="Q32" s="1385" t="str">
        <f t="shared" si="8"/>
        <v>公共部分装修</v>
      </c>
      <c r="R32" s="1386" t="s">
        <v>5</v>
      </c>
      <c r="S32" s="1387">
        <f t="shared" si="9"/>
        <v>100</v>
      </c>
      <c r="T32" s="1386" t="s">
        <v>5</v>
      </c>
      <c r="U32" s="1387">
        <f t="shared" si="10"/>
        <v>100</v>
      </c>
      <c r="V32" s="1386" t="s">
        <v>5</v>
      </c>
      <c r="W32" s="1387">
        <f t="shared" si="11"/>
        <v>100</v>
      </c>
      <c r="X32" s="1380"/>
      <c r="Y32" s="385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7"/>
      <c r="Q33" s="1385" t="str">
        <f t="shared" si="8"/>
        <v>成新度</v>
      </c>
      <c r="R33" s="1386" t="s">
        <v>5</v>
      </c>
      <c r="S33" s="1387" t="e">
        <f t="shared" si="9"/>
        <v>#N/A</v>
      </c>
      <c r="T33" s="1386" t="s">
        <v>5</v>
      </c>
      <c r="U33" s="1387" t="e">
        <f t="shared" si="10"/>
        <v>#N/A</v>
      </c>
      <c r="V33" s="1386" t="s">
        <v>5</v>
      </c>
      <c r="W33" s="1387" t="e">
        <f t="shared" si="11"/>
        <v>#N/A</v>
      </c>
      <c r="X33" s="1380"/>
      <c r="Y33" s="385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7"/>
      <c r="Q34" s="1050" t="str">
        <f t="shared" si="8"/>
        <v>物业管理</v>
      </c>
      <c r="R34" s="1381" t="s">
        <v>5</v>
      </c>
      <c r="S34" s="1382">
        <f t="shared" si="9"/>
        <v>100</v>
      </c>
      <c r="T34" s="1381" t="s">
        <v>5</v>
      </c>
      <c r="U34" s="1382">
        <f t="shared" si="10"/>
        <v>100</v>
      </c>
      <c r="V34" s="1381" t="s">
        <v>5</v>
      </c>
      <c r="W34" s="1382">
        <f t="shared" si="11"/>
        <v>100</v>
      </c>
      <c r="X34" s="1383"/>
      <c r="Y34" s="385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7" t="s">
        <v>499</v>
      </c>
      <c r="Q35" s="1385" t="str">
        <f t="shared" si="8"/>
        <v>市政基础设施</v>
      </c>
      <c r="R35" s="1386" t="s">
        <v>5</v>
      </c>
      <c r="S35" s="1387">
        <f t="shared" si="9"/>
        <v>100</v>
      </c>
      <c r="T35" s="1386" t="s">
        <v>5</v>
      </c>
      <c r="U35" s="1387">
        <f t="shared" si="10"/>
        <v>100</v>
      </c>
      <c r="V35" s="1386" t="s">
        <v>5</v>
      </c>
      <c r="W35" s="1387">
        <f t="shared" si="11"/>
        <v>100</v>
      </c>
      <c r="X35" s="1380"/>
      <c r="Y35" s="385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7"/>
      <c r="Q36" s="1385" t="str">
        <f t="shared" si="8"/>
        <v>内部装修</v>
      </c>
      <c r="R36" s="1386" t="s">
        <v>5</v>
      </c>
      <c r="S36" s="1387">
        <f t="shared" si="9"/>
        <v>100</v>
      </c>
      <c r="T36" s="1386" t="s">
        <v>5</v>
      </c>
      <c r="U36" s="1387">
        <f t="shared" si="10"/>
        <v>100</v>
      </c>
      <c r="V36" s="1386" t="s">
        <v>5</v>
      </c>
      <c r="W36" s="1387">
        <f t="shared" si="11"/>
        <v>100</v>
      </c>
      <c r="X36" s="1380"/>
      <c r="Y36" s="385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7"/>
      <c r="Q37" s="1385" t="str">
        <f t="shared" si="8"/>
        <v>内部装修状况</v>
      </c>
      <c r="R37" s="1386" t="s">
        <v>5</v>
      </c>
      <c r="S37" s="1387">
        <f t="shared" si="9"/>
        <v>100</v>
      </c>
      <c r="T37" s="1386" t="s">
        <v>5</v>
      </c>
      <c r="U37" s="1387">
        <f t="shared" si="10"/>
        <v>100</v>
      </c>
      <c r="V37" s="1386" t="s">
        <v>5</v>
      </c>
      <c r="W37" s="1387">
        <f t="shared" si="11"/>
        <v>100</v>
      </c>
      <c r="X37" s="1380"/>
      <c r="Y37" s="385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7"/>
      <c r="Q38" s="1414">
        <f t="shared" si="8"/>
        <v>111</v>
      </c>
      <c r="R38" s="1390" t="s">
        <v>5</v>
      </c>
      <c r="S38" s="1391">
        <f t="shared" si="9"/>
        <v>100</v>
      </c>
      <c r="T38" s="1390" t="s">
        <v>5</v>
      </c>
      <c r="U38" s="1391">
        <f t="shared" si="10"/>
        <v>100</v>
      </c>
      <c r="V38" s="1390" t="s">
        <v>5</v>
      </c>
      <c r="W38" s="1391">
        <f t="shared" si="11"/>
        <v>100</v>
      </c>
      <c r="X38" s="1392"/>
      <c r="Y38" s="385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7"/>
      <c r="Q39" s="1385">
        <f t="shared" si="8"/>
        <v>111</v>
      </c>
      <c r="R39" s="1386" t="s">
        <v>5</v>
      </c>
      <c r="S39" s="1387">
        <f t="shared" si="9"/>
        <v>100</v>
      </c>
      <c r="T39" s="1386" t="s">
        <v>5</v>
      </c>
      <c r="U39" s="1387">
        <f t="shared" si="10"/>
        <v>100</v>
      </c>
      <c r="V39" s="1386" t="s">
        <v>5</v>
      </c>
      <c r="W39" s="1387">
        <f t="shared" si="11"/>
        <v>100</v>
      </c>
      <c r="X39" s="1380"/>
      <c r="Y39" s="385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5"/>
      <c r="Q40" s="1385">
        <f t="shared" si="8"/>
        <v>111</v>
      </c>
      <c r="R40" s="1386" t="s">
        <v>5</v>
      </c>
      <c r="S40" s="1387">
        <f t="shared" si="9"/>
        <v>100</v>
      </c>
      <c r="T40" s="1386" t="s">
        <v>5</v>
      </c>
      <c r="U40" s="1387">
        <f t="shared" si="10"/>
        <v>100</v>
      </c>
      <c r="V40" s="1386" t="s">
        <v>5</v>
      </c>
      <c r="W40" s="1387">
        <f t="shared" si="11"/>
        <v>100</v>
      </c>
      <c r="X40" s="1380"/>
      <c r="Y40" s="396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2" t="str">
        <f>A41</f>
        <v>成交单价（元/平方米）</v>
      </c>
      <c r="Q41" s="3852"/>
      <c r="R41" s="3964">
        <f>E41</f>
        <v>0</v>
      </c>
      <c r="S41" s="3964"/>
      <c r="T41" s="3964">
        <f>G41</f>
        <v>0</v>
      </c>
      <c r="U41" s="3964"/>
      <c r="V41" s="3964">
        <f>I41</f>
        <v>0</v>
      </c>
      <c r="W41" s="3964"/>
      <c r="X41" s="1375"/>
      <c r="Y41" s="1394"/>
      <c r="Z41" s="1375"/>
      <c r="AA41" s="1375"/>
      <c r="AB41" s="1375"/>
      <c r="AC41" s="1375"/>
    </row>
    <row r="42" spans="1:29" ht="15.75" thickBot="1">
      <c r="A42" s="585" t="s">
        <v>2042</v>
      </c>
      <c r="B42" s="851"/>
      <c r="C42" s="2240" t="e">
        <f>R43</f>
        <v>#DIV/0!</v>
      </c>
      <c r="D42" s="2757" t="s">
        <v>2257</v>
      </c>
      <c r="E42" s="2241" t="e">
        <f>R42</f>
        <v>#DIV/0!</v>
      </c>
      <c r="F42" s="2758"/>
      <c r="G42" s="2240" t="e">
        <f>T42</f>
        <v>#DIV/0!</v>
      </c>
      <c r="H42" s="2758"/>
      <c r="I42" s="2241" t="e">
        <f>V42</f>
        <v>#DIV/0!</v>
      </c>
      <c r="J42" s="2758"/>
      <c r="K42" s="2766">
        <f>F42+H42+J42</f>
        <v>0</v>
      </c>
      <c r="L42" s="1867"/>
      <c r="M42" s="1868"/>
      <c r="N42" s="1857"/>
      <c r="O42" s="1868"/>
      <c r="P42" s="3852" t="str">
        <f>A42</f>
        <v>比较价格（元/平方米）</v>
      </c>
      <c r="Q42" s="3852"/>
      <c r="R42" s="3964" t="e">
        <f>IF(F1="售价",ROUND(PRODUCT(R41,AA7:AA40),0),ROUND(PRODUCT(R41,AA7:AA40),1))</f>
        <v>#DIV/0!</v>
      </c>
      <c r="S42" s="3964"/>
      <c r="T42" s="3964" t="e">
        <f>IF(F1="售价",ROUND(PRODUCT(T41,AB7:AB40),0),ROUND(PRODUCT(T41,AB7:AB40),1))</f>
        <v>#DIV/0!</v>
      </c>
      <c r="U42" s="3964"/>
      <c r="V42" s="3964" t="e">
        <f>IF(F1="售价",ROUND(PRODUCT(V41,AC7:AC40),0),ROUND(PRODUCT(V41,AC7:AC40),1))</f>
        <v>#DIV/0!</v>
      </c>
      <c r="W42" s="3964"/>
      <c r="X42" s="1375"/>
      <c r="Y42" s="1375"/>
      <c r="Z42" s="1375"/>
      <c r="AA42" s="1375"/>
      <c r="AB42" s="1375"/>
      <c r="AC42" s="1375"/>
    </row>
    <row r="43" spans="1:29" ht="15.75" thickBot="1">
      <c r="A43" s="589" t="s">
        <v>2194</v>
      </c>
      <c r="B43" s="590"/>
      <c r="C43" s="2242" t="e">
        <f>R43</f>
        <v>#DIV/0!</v>
      </c>
      <c r="D43" s="2242"/>
      <c r="E43" s="2242"/>
      <c r="F43" s="2242"/>
      <c r="G43" s="2242"/>
      <c r="H43" s="2242"/>
      <c r="I43" s="2242"/>
      <c r="J43" s="2242"/>
      <c r="K43" s="1420"/>
      <c r="L43" s="1867"/>
      <c r="M43" s="1868"/>
      <c r="N43" s="1868"/>
      <c r="O43" s="1868"/>
      <c r="P43" s="3858" t="str">
        <f>A43</f>
        <v>估价对象XX用房的比较价格（楼面单价，元/平方米）</v>
      </c>
      <c r="Q43" s="3859"/>
      <c r="R43" s="3963" t="e">
        <f>IF(F1="售价",ROUND(IF(D42="简单平均",AVERAGE(R42:V42),R42*F42+T42*H42+V42*J42),0),ROUND(IF(D42="简单平均",AVERAGE(R42:V42),R42*F42+T42*H42+V42*J42),1))</f>
        <v>#DIV/0!</v>
      </c>
      <c r="S43" s="3963"/>
      <c r="T43" s="3963"/>
      <c r="U43" s="3963"/>
      <c r="V43" s="3963"/>
      <c r="W43" s="396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2023-1</v>
      </c>
      <c r="D52" s="2284">
        <f>EDATE(C52,-1)</f>
        <v>44896</v>
      </c>
      <c r="E52" s="2284">
        <f t="shared" ref="E52:O52" si="13">EDATE(D52,-1)</f>
        <v>44866</v>
      </c>
      <c r="F52" s="2284">
        <f t="shared" si="13"/>
        <v>44835</v>
      </c>
      <c r="G52" s="2284">
        <f t="shared" si="13"/>
        <v>44805</v>
      </c>
      <c r="H52" s="2284">
        <f t="shared" si="13"/>
        <v>44774</v>
      </c>
      <c r="I52" s="2284">
        <f t="shared" si="13"/>
        <v>44743</v>
      </c>
      <c r="J52" s="2284">
        <f t="shared" si="13"/>
        <v>44713</v>
      </c>
      <c r="K52" s="2284">
        <f t="shared" si="13"/>
        <v>44682</v>
      </c>
      <c r="L52" s="2284">
        <f t="shared" si="13"/>
        <v>44652</v>
      </c>
      <c r="M52" s="2284">
        <f t="shared" si="13"/>
        <v>44621</v>
      </c>
      <c r="N52" s="2284">
        <f t="shared" si="13"/>
        <v>44593</v>
      </c>
      <c r="O52" s="2284">
        <f t="shared" si="13"/>
        <v>44562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93.75">
      <c r="A7" s="2353" t="s">
        <v>2030</v>
      </c>
    </row>
    <row r="8" spans="1:4" ht="18.75">
      <c r="A8" s="1582" t="s">
        <v>1430</v>
      </c>
    </row>
    <row r="9" spans="1:4" ht="75">
      <c r="A9" s="1584"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2023年1月3日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0" t="s">
        <v>738</v>
      </c>
      <c r="D4" s="3861"/>
      <c r="E4" s="3860" t="s">
        <v>739</v>
      </c>
      <c r="F4" s="3861"/>
      <c r="G4" s="3860" t="s">
        <v>740</v>
      </c>
      <c r="H4" s="3861"/>
      <c r="I4" s="3860" t="s">
        <v>741</v>
      </c>
      <c r="J4" s="3861"/>
      <c r="K4" s="484" t="s">
        <v>742</v>
      </c>
      <c r="L4" s="1856"/>
      <c r="M4" s="1857"/>
      <c r="N4" s="1857"/>
      <c r="O4" s="1857"/>
      <c r="P4" s="3862" t="s">
        <v>743</v>
      </c>
      <c r="Q4" s="3863"/>
      <c r="R4" s="3846" t="s">
        <v>739</v>
      </c>
      <c r="S4" s="3847"/>
      <c r="T4" s="3846" t="s">
        <v>740</v>
      </c>
      <c r="U4" s="3847"/>
      <c r="V4" s="3868" t="s">
        <v>741</v>
      </c>
      <c r="W4" s="3868"/>
      <c r="X4" s="1380"/>
      <c r="Y4" s="3846" t="s">
        <v>743</v>
      </c>
      <c r="Z4" s="3847"/>
      <c r="AA4" s="3841" t="s">
        <v>739</v>
      </c>
      <c r="AB4" s="3842" t="s">
        <v>740</v>
      </c>
      <c r="AC4" s="3841" t="s">
        <v>741</v>
      </c>
    </row>
    <row r="5" spans="1:29" ht="15">
      <c r="A5" s="485"/>
      <c r="B5" s="486"/>
      <c r="C5" s="3871" t="s">
        <v>2188</v>
      </c>
      <c r="D5" s="3872"/>
      <c r="E5" s="3871" t="s">
        <v>2189</v>
      </c>
      <c r="F5" s="3872"/>
      <c r="G5" s="3871" t="s">
        <v>2190</v>
      </c>
      <c r="H5" s="3872"/>
      <c r="I5" s="3871" t="s">
        <v>2191</v>
      </c>
      <c r="J5" s="3872"/>
      <c r="K5" s="484"/>
      <c r="L5" s="1856"/>
      <c r="M5" s="1857"/>
      <c r="N5" s="1857"/>
      <c r="O5" s="1857"/>
      <c r="P5" s="3864"/>
      <c r="Q5" s="3865"/>
      <c r="R5" s="3848"/>
      <c r="S5" s="3849"/>
      <c r="T5" s="3848"/>
      <c r="U5" s="3849"/>
      <c r="V5" s="3868"/>
      <c r="W5" s="3868"/>
      <c r="X5" s="1380"/>
      <c r="Y5" s="3848"/>
      <c r="Z5" s="3849"/>
      <c r="AA5" s="3842"/>
      <c r="AB5" s="3842"/>
      <c r="AC5" s="3842"/>
    </row>
    <row r="6" spans="1:29" ht="15.75" thickBot="1">
      <c r="A6" s="487"/>
      <c r="B6" s="488"/>
      <c r="C6" s="3869" t="s">
        <v>2192</v>
      </c>
      <c r="D6" s="3870"/>
      <c r="E6" s="3873" t="s">
        <v>2192</v>
      </c>
      <c r="F6" s="3874"/>
      <c r="G6" s="3869" t="s">
        <v>2192</v>
      </c>
      <c r="H6" s="3870"/>
      <c r="I6" s="3869" t="s">
        <v>2192</v>
      </c>
      <c r="J6" s="3870"/>
      <c r="K6" s="484" t="s">
        <v>477</v>
      </c>
      <c r="L6" s="1856"/>
      <c r="M6" s="1857"/>
      <c r="N6" s="1857"/>
      <c r="O6" s="1857"/>
      <c r="P6" s="3866"/>
      <c r="Q6" s="3867"/>
      <c r="R6" s="3848"/>
      <c r="S6" s="3849"/>
      <c r="T6" s="3850"/>
      <c r="U6" s="3851"/>
      <c r="V6" s="3868"/>
      <c r="W6" s="3868"/>
      <c r="X6" s="1380"/>
      <c r="Y6" s="3850"/>
      <c r="Z6" s="3851"/>
      <c r="AA6" s="3843"/>
      <c r="AB6" s="3843"/>
      <c r="AC6" s="3843"/>
    </row>
    <row r="7" spans="1:29" s="1118" customFormat="1" ht="15.75" thickBot="1">
      <c r="A7" s="2392"/>
      <c r="B7" s="2399" t="s">
        <v>478</v>
      </c>
      <c r="C7" s="489">
        <f>'数据-取费表'!B2</f>
        <v>44929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4" t="s">
        <v>479</v>
      </c>
      <c r="Q7" s="3853"/>
      <c r="R7" s="1381" t="s">
        <v>5</v>
      </c>
      <c r="S7" s="1382">
        <f t="shared" ref="S7:S14" si="0">F7</f>
        <v>0</v>
      </c>
      <c r="T7" s="1381" t="s">
        <v>5</v>
      </c>
      <c r="U7" s="1382">
        <f t="shared" ref="U7:U14" si="1">H7</f>
        <v>0</v>
      </c>
      <c r="V7" s="1381" t="s">
        <v>5</v>
      </c>
      <c r="W7" s="1382">
        <f t="shared" ref="W7:W14"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4" t="s">
        <v>482</v>
      </c>
      <c r="Q8" s="3845"/>
      <c r="R8" s="1381" t="s">
        <v>5</v>
      </c>
      <c r="S8" s="1382">
        <f t="shared" si="0"/>
        <v>0</v>
      </c>
      <c r="T8" s="1381" t="s">
        <v>5</v>
      </c>
      <c r="U8" s="1382">
        <f t="shared" si="1"/>
        <v>0</v>
      </c>
      <c r="V8" s="1381" t="s">
        <v>5</v>
      </c>
      <c r="W8" s="1382">
        <f t="shared" si="2"/>
        <v>0</v>
      </c>
      <c r="X8" s="1383"/>
      <c r="Y8" s="3844" t="s">
        <v>482</v>
      </c>
      <c r="Z8" s="3845"/>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2" t="s">
        <v>484</v>
      </c>
      <c r="Q9" s="1050" t="str">
        <f t="shared" ref="Q9:Q14" si="6">B9</f>
        <v>用途</v>
      </c>
      <c r="R9" s="1381" t="s">
        <v>5</v>
      </c>
      <c r="S9" s="1382">
        <f t="shared" si="0"/>
        <v>100</v>
      </c>
      <c r="T9" s="1381" t="s">
        <v>5</v>
      </c>
      <c r="U9" s="1382">
        <f t="shared" si="1"/>
        <v>100</v>
      </c>
      <c r="V9" s="1381" t="s">
        <v>5</v>
      </c>
      <c r="W9" s="1382">
        <f t="shared" si="2"/>
        <v>100</v>
      </c>
      <c r="X9" s="1383"/>
      <c r="Y9" s="380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2"/>
      <c r="Q11" s="1050">
        <f t="shared" si="6"/>
        <v>111</v>
      </c>
      <c r="R11" s="1381" t="s">
        <v>5</v>
      </c>
      <c r="S11" s="1382">
        <f t="shared" si="0"/>
        <v>100</v>
      </c>
      <c r="T11" s="1381" t="s">
        <v>5</v>
      </c>
      <c r="U11" s="1382">
        <f t="shared" si="1"/>
        <v>100</v>
      </c>
      <c r="V11" s="1381" t="s">
        <v>5</v>
      </c>
      <c r="W11" s="1382">
        <f t="shared" si="2"/>
        <v>100</v>
      </c>
      <c r="X11" s="1383"/>
      <c r="Y11" s="380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0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0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估价对象周边道路状况一般、公共交通通达情况较差，有5、122路经过、停车便捷程度，综合评价交通便捷度一般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4" t="s">
        <v>489</v>
      </c>
      <c r="Q14" s="1385" t="str">
        <f t="shared" si="6"/>
        <v>交通便捷度</v>
      </c>
      <c r="R14" s="1386" t="s">
        <v>5</v>
      </c>
      <c r="S14" s="1387">
        <f t="shared" si="0"/>
        <v>100</v>
      </c>
      <c r="T14" s="1386" t="s">
        <v>5</v>
      </c>
      <c r="U14" s="1387">
        <f t="shared" si="1"/>
        <v>100</v>
      </c>
      <c r="V14" s="1386" t="s">
        <v>5</v>
      </c>
      <c r="W14" s="1387">
        <f t="shared" si="2"/>
        <v>100</v>
      </c>
      <c r="X14" s="1380"/>
      <c r="Y14" s="385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5"/>
      <c r="Q15" s="1385"/>
      <c r="R15" s="1386"/>
      <c r="S15" s="1387"/>
      <c r="T15" s="1386"/>
      <c r="U15" s="1387"/>
      <c r="V15" s="1386"/>
      <c r="W15" s="1387"/>
      <c r="X15" s="1380"/>
      <c r="Y15" s="3855"/>
      <c r="Z15" s="1388"/>
      <c r="AA15" s="1389">
        <v>1</v>
      </c>
      <c r="AB15" s="1389">
        <v>1</v>
      </c>
      <c r="AC15" s="1389">
        <v>1</v>
      </c>
    </row>
    <row r="16" spans="1:29" ht="42.75">
      <c r="A16" s="485"/>
      <c r="B16" s="2211" t="s">
        <v>1829</v>
      </c>
      <c r="C16" s="835" t="str">
        <f>IF(B1="工业",估价对象房地状况!G5,估价对象房地状况!C7)</f>
        <v>估价对象所在区域公共配套设施齐备情况较差</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5"/>
      <c r="Q16" s="1385" t="str">
        <f>B16</f>
        <v>公共配套设施</v>
      </c>
      <c r="R16" s="1386" t="s">
        <v>5</v>
      </c>
      <c r="S16" s="1387">
        <f>F16</f>
        <v>100</v>
      </c>
      <c r="T16" s="1386" t="s">
        <v>5</v>
      </c>
      <c r="U16" s="1387">
        <f>H16</f>
        <v>100</v>
      </c>
      <c r="V16" s="1386" t="s">
        <v>5</v>
      </c>
      <c r="W16" s="1387">
        <f>J16</f>
        <v>100</v>
      </c>
      <c r="X16" s="1380"/>
      <c r="Y16" s="385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5"/>
      <c r="Q17" s="1385"/>
      <c r="R17" s="1386"/>
      <c r="S17" s="1387"/>
      <c r="T17" s="1386"/>
      <c r="U17" s="1387"/>
      <c r="V17" s="1386"/>
      <c r="W17" s="1387"/>
      <c r="X17" s="1380"/>
      <c r="Y17" s="3855"/>
      <c r="Z17" s="1388"/>
      <c r="AA17" s="1389">
        <v>1</v>
      </c>
      <c r="AB17" s="1389">
        <v>1</v>
      </c>
      <c r="AC17" s="1389">
        <v>1</v>
      </c>
    </row>
    <row r="18" spans="1:29" ht="28.5">
      <c r="A18" s="485"/>
      <c r="B18" s="2199"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5"/>
      <c r="Q18" s="2193" t="str">
        <f>B18</f>
        <v>基础设施水平</v>
      </c>
      <c r="R18" s="1386" t="s">
        <v>5</v>
      </c>
      <c r="S18" s="1387">
        <f>F18</f>
        <v>100</v>
      </c>
      <c r="T18" s="1386" t="s">
        <v>5</v>
      </c>
      <c r="U18" s="1387">
        <f>H18</f>
        <v>100</v>
      </c>
      <c r="V18" s="1386" t="s">
        <v>5</v>
      </c>
      <c r="W18" s="1387">
        <f>J18</f>
        <v>100</v>
      </c>
      <c r="X18" s="2195"/>
      <c r="Y18" s="385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5"/>
      <c r="Q19" s="2193"/>
      <c r="R19" s="1386"/>
      <c r="S19" s="1387"/>
      <c r="T19" s="1386"/>
      <c r="U19" s="1387"/>
      <c r="V19" s="1386"/>
      <c r="W19" s="1387"/>
      <c r="X19" s="2195"/>
      <c r="Y19" s="3855"/>
      <c r="Z19" s="2194"/>
      <c r="AA19" s="1389">
        <v>1</v>
      </c>
      <c r="AB19" s="1389">
        <v>1</v>
      </c>
      <c r="AC19" s="1389">
        <v>1</v>
      </c>
    </row>
    <row r="20" spans="1:29" ht="57">
      <c r="A20" s="485"/>
      <c r="B20" s="530" t="s">
        <v>744</v>
      </c>
      <c r="C20" s="835" t="str">
        <f>IF(B1="工业",估价对象房地状况!G7,估价对象房地状况!C9)</f>
        <v>区域自然环境：；人文环境；综合评价环境状况较差</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5"/>
      <c r="Q20" s="1385" t="str">
        <f>B20</f>
        <v>自然及人文环境</v>
      </c>
      <c r="R20" s="1386" t="s">
        <v>5</v>
      </c>
      <c r="S20" s="1387">
        <f>F20</f>
        <v>100</v>
      </c>
      <c r="T20" s="1386" t="s">
        <v>5</v>
      </c>
      <c r="U20" s="1387">
        <f>H20</f>
        <v>100</v>
      </c>
      <c r="V20" s="1386" t="s">
        <v>5</v>
      </c>
      <c r="W20" s="1387">
        <f>J20</f>
        <v>100</v>
      </c>
      <c r="X20" s="1380"/>
      <c r="Y20" s="385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5"/>
      <c r="Q21" s="1385"/>
      <c r="R21" s="1386"/>
      <c r="S21" s="1387"/>
      <c r="T21" s="1386"/>
      <c r="U21" s="1387"/>
      <c r="V21" s="1386"/>
      <c r="W21" s="1387"/>
      <c r="X21" s="1380"/>
      <c r="Y21" s="385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5"/>
      <c r="Q22" s="1385" t="str">
        <f>B22</f>
        <v>楼层</v>
      </c>
      <c r="R22" s="1386" t="s">
        <v>5</v>
      </c>
      <c r="S22" s="1387">
        <f>F22</f>
        <v>100</v>
      </c>
      <c r="T22" s="1386" t="s">
        <v>5</v>
      </c>
      <c r="U22" s="1387">
        <f>H22</f>
        <v>100</v>
      </c>
      <c r="V22" s="1386" t="s">
        <v>5</v>
      </c>
      <c r="W22" s="1387">
        <f>J22</f>
        <v>100</v>
      </c>
      <c r="X22" s="1380"/>
      <c r="Y22" s="385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5"/>
      <c r="Q23" s="1385">
        <f>B23</f>
        <v>111</v>
      </c>
      <c r="R23" s="1386" t="s">
        <v>5</v>
      </c>
      <c r="S23" s="1387">
        <f>F23</f>
        <v>100</v>
      </c>
      <c r="T23" s="1386" t="s">
        <v>5</v>
      </c>
      <c r="U23" s="1387">
        <f>H23</f>
        <v>100</v>
      </c>
      <c r="V23" s="1386" t="s">
        <v>5</v>
      </c>
      <c r="W23" s="1387">
        <f>J23</f>
        <v>100</v>
      </c>
      <c r="X23" s="1380"/>
      <c r="Y23" s="385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5"/>
      <c r="Q24" s="1385">
        <f t="shared" ref="Q24:Q36" si="8">B24</f>
        <v>111</v>
      </c>
      <c r="R24" s="1386" t="s">
        <v>5</v>
      </c>
      <c r="S24" s="1387">
        <f>F24</f>
        <v>100</v>
      </c>
      <c r="T24" s="1386" t="s">
        <v>5</v>
      </c>
      <c r="U24" s="1387">
        <f>H24</f>
        <v>100</v>
      </c>
      <c r="V24" s="1386" t="s">
        <v>5</v>
      </c>
      <c r="W24" s="1387">
        <f>J24</f>
        <v>100</v>
      </c>
      <c r="X24" s="1380"/>
      <c r="Y24" s="385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5"/>
      <c r="Q25" s="1050">
        <f t="shared" si="8"/>
        <v>111</v>
      </c>
      <c r="R25" s="1381" t="s">
        <v>5</v>
      </c>
      <c r="S25" s="1382">
        <f>F25</f>
        <v>100</v>
      </c>
      <c r="T25" s="1381" t="s">
        <v>5</v>
      </c>
      <c r="U25" s="1382">
        <f>H25</f>
        <v>100</v>
      </c>
      <c r="V25" s="1381" t="s">
        <v>5</v>
      </c>
      <c r="W25" s="1382">
        <f>J25</f>
        <v>100</v>
      </c>
      <c r="X25" s="1383"/>
      <c r="Y25" s="385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7"/>
      <c r="Q27" s="1414" t="str">
        <f t="shared" si="8"/>
        <v>项目停车位配比</v>
      </c>
      <c r="R27" s="1390" t="s">
        <v>5</v>
      </c>
      <c r="S27" s="1391">
        <f t="shared" si="9"/>
        <v>100</v>
      </c>
      <c r="T27" s="1390" t="s">
        <v>5</v>
      </c>
      <c r="U27" s="1391">
        <f t="shared" si="10"/>
        <v>100</v>
      </c>
      <c r="V27" s="1390" t="s">
        <v>5</v>
      </c>
      <c r="W27" s="1391">
        <f t="shared" si="11"/>
        <v>100</v>
      </c>
      <c r="X27" s="1392"/>
      <c r="Y27" s="385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7"/>
      <c r="Q28" s="1385" t="str">
        <f t="shared" si="8"/>
        <v>公共部分装修</v>
      </c>
      <c r="R28" s="1386" t="s">
        <v>5</v>
      </c>
      <c r="S28" s="1387">
        <f t="shared" si="9"/>
        <v>100</v>
      </c>
      <c r="T28" s="1386" t="s">
        <v>5</v>
      </c>
      <c r="U28" s="1387">
        <f t="shared" si="10"/>
        <v>100</v>
      </c>
      <c r="V28" s="1386" t="s">
        <v>5</v>
      </c>
      <c r="W28" s="1387">
        <f t="shared" si="11"/>
        <v>100</v>
      </c>
      <c r="X28" s="1380"/>
      <c r="Y28" s="385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7"/>
      <c r="Q29" s="1385" t="str">
        <f t="shared" si="8"/>
        <v>成新率</v>
      </c>
      <c r="R29" s="1386" t="s">
        <v>5</v>
      </c>
      <c r="S29" s="1387" t="e">
        <f t="shared" si="9"/>
        <v>#N/A</v>
      </c>
      <c r="T29" s="1386" t="s">
        <v>5</v>
      </c>
      <c r="U29" s="1387" t="e">
        <f t="shared" si="10"/>
        <v>#N/A</v>
      </c>
      <c r="V29" s="1386" t="s">
        <v>5</v>
      </c>
      <c r="W29" s="1387" t="e">
        <f t="shared" si="11"/>
        <v>#N/A</v>
      </c>
      <c r="X29" s="1380"/>
      <c r="Y29" s="385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7"/>
      <c r="Q30" s="1385" t="str">
        <f t="shared" si="8"/>
        <v>物业等级</v>
      </c>
      <c r="R30" s="1386" t="s">
        <v>5</v>
      </c>
      <c r="S30" s="1387">
        <f t="shared" si="9"/>
        <v>100</v>
      </c>
      <c r="T30" s="1386" t="s">
        <v>5</v>
      </c>
      <c r="U30" s="1387">
        <f t="shared" si="10"/>
        <v>100</v>
      </c>
      <c r="V30" s="1386" t="s">
        <v>5</v>
      </c>
      <c r="W30" s="1387">
        <f t="shared" si="11"/>
        <v>100</v>
      </c>
      <c r="X30" s="1380"/>
      <c r="Y30" s="385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7"/>
      <c r="Q31" s="1050" t="str">
        <f t="shared" si="8"/>
        <v>停车位面积</v>
      </c>
      <c r="R31" s="1381" t="s">
        <v>5</v>
      </c>
      <c r="S31" s="1382" t="e">
        <f t="shared" si="9"/>
        <v>#N/A</v>
      </c>
      <c r="T31" s="1381" t="s">
        <v>5</v>
      </c>
      <c r="U31" s="1382" t="e">
        <f t="shared" si="10"/>
        <v>#N/A</v>
      </c>
      <c r="V31" s="1381" t="s">
        <v>5</v>
      </c>
      <c r="W31" s="1382" t="e">
        <f t="shared" si="11"/>
        <v>#N/A</v>
      </c>
      <c r="X31" s="1383"/>
      <c r="Y31" s="385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7" t="s">
        <v>499</v>
      </c>
      <c r="Q32" s="1385" t="str">
        <f t="shared" si="8"/>
        <v>车位类型</v>
      </c>
      <c r="R32" s="1386" t="s">
        <v>5</v>
      </c>
      <c r="S32" s="1387">
        <f t="shared" si="9"/>
        <v>100</v>
      </c>
      <c r="T32" s="1386" t="s">
        <v>5</v>
      </c>
      <c r="U32" s="1387">
        <f t="shared" si="10"/>
        <v>100</v>
      </c>
      <c r="V32" s="1386" t="s">
        <v>5</v>
      </c>
      <c r="W32" s="1387">
        <f t="shared" si="11"/>
        <v>100</v>
      </c>
      <c r="X32" s="1380"/>
      <c r="Y32" s="385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7"/>
      <c r="Q33" s="1385" t="str">
        <f t="shared" si="8"/>
        <v>是否直接入户</v>
      </c>
      <c r="R33" s="1386" t="s">
        <v>5</v>
      </c>
      <c r="S33" s="1387">
        <f t="shared" si="9"/>
        <v>100</v>
      </c>
      <c r="T33" s="1386" t="s">
        <v>5</v>
      </c>
      <c r="U33" s="1387">
        <f t="shared" si="10"/>
        <v>100</v>
      </c>
      <c r="V33" s="1386" t="s">
        <v>5</v>
      </c>
      <c r="W33" s="1387">
        <f t="shared" si="11"/>
        <v>100</v>
      </c>
      <c r="X33" s="1380"/>
      <c r="Y33" s="385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7"/>
      <c r="Q34" s="1385">
        <f t="shared" si="8"/>
        <v>111</v>
      </c>
      <c r="R34" s="1386" t="s">
        <v>5</v>
      </c>
      <c r="S34" s="1387">
        <f t="shared" si="9"/>
        <v>100</v>
      </c>
      <c r="T34" s="1386" t="s">
        <v>5</v>
      </c>
      <c r="U34" s="1387">
        <f t="shared" si="10"/>
        <v>100</v>
      </c>
      <c r="V34" s="1386" t="s">
        <v>5</v>
      </c>
      <c r="W34" s="1387">
        <f t="shared" si="11"/>
        <v>100</v>
      </c>
      <c r="X34" s="1380"/>
      <c r="Y34" s="385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7"/>
      <c r="Q35" s="1414">
        <f t="shared" si="8"/>
        <v>111</v>
      </c>
      <c r="R35" s="1390" t="s">
        <v>5</v>
      </c>
      <c r="S35" s="1391">
        <f t="shared" si="9"/>
        <v>100</v>
      </c>
      <c r="T35" s="1390" t="s">
        <v>5</v>
      </c>
      <c r="U35" s="1391">
        <f t="shared" si="10"/>
        <v>100</v>
      </c>
      <c r="V35" s="1390" t="s">
        <v>5</v>
      </c>
      <c r="W35" s="1391">
        <f t="shared" si="11"/>
        <v>100</v>
      </c>
      <c r="X35" s="1392"/>
      <c r="Y35" s="385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7"/>
      <c r="Q36" s="1385">
        <f t="shared" si="8"/>
        <v>111</v>
      </c>
      <c r="R36" s="1386" t="s">
        <v>5</v>
      </c>
      <c r="S36" s="1387">
        <f t="shared" si="9"/>
        <v>100</v>
      </c>
      <c r="T36" s="1386" t="s">
        <v>5</v>
      </c>
      <c r="U36" s="1387">
        <f t="shared" si="10"/>
        <v>100</v>
      </c>
      <c r="V36" s="1386" t="s">
        <v>5</v>
      </c>
      <c r="W36" s="1387">
        <f t="shared" si="11"/>
        <v>100</v>
      </c>
      <c r="X36" s="1380"/>
      <c r="Y36" s="3857"/>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2" t="str">
        <f>A37</f>
        <v>成交单价</v>
      </c>
      <c r="Q37" s="3852"/>
      <c r="R37" s="3964">
        <f>E37</f>
        <v>0</v>
      </c>
      <c r="S37" s="3964"/>
      <c r="T37" s="3964">
        <f>G37</f>
        <v>0</v>
      </c>
      <c r="U37" s="3964"/>
      <c r="V37" s="3964">
        <f>I37</f>
        <v>0</v>
      </c>
      <c r="W37" s="3964"/>
      <c r="X37" s="1375"/>
      <c r="Y37" s="1394"/>
      <c r="Z37" s="1375"/>
      <c r="AA37" s="1375"/>
      <c r="AB37" s="1375"/>
      <c r="AC37" s="1375"/>
    </row>
    <row r="38" spans="1:29" ht="15.75" thickBot="1">
      <c r="A38" s="585" t="s">
        <v>2042</v>
      </c>
      <c r="B38" s="851"/>
      <c r="C38" s="2240" t="e">
        <f>R39</f>
        <v>#DIV/0!</v>
      </c>
      <c r="D38" s="2757" t="s">
        <v>2257</v>
      </c>
      <c r="E38" s="2241" t="e">
        <f>R38</f>
        <v>#DIV/0!</v>
      </c>
      <c r="F38" s="2758"/>
      <c r="G38" s="2240" t="e">
        <f>T38</f>
        <v>#DIV/0!</v>
      </c>
      <c r="H38" s="2758"/>
      <c r="I38" s="2241" t="e">
        <f>V38</f>
        <v>#DIV/0!</v>
      </c>
      <c r="J38" s="2758"/>
      <c r="K38" s="2766">
        <f>F38+H38+J38</f>
        <v>0</v>
      </c>
      <c r="L38" s="1867"/>
      <c r="M38" s="1868"/>
      <c r="N38" s="1868"/>
      <c r="O38" s="1868"/>
      <c r="P38" s="3852" t="str">
        <f>A38</f>
        <v>比较价格（元/平方米）</v>
      </c>
      <c r="Q38" s="3852"/>
      <c r="R38" s="3964" t="e">
        <f>IF(F1="售价",ROUND(PRODUCT(R37,AA7:AA36),0),ROUND(PRODUCT(R37,AA7:AA36),1))</f>
        <v>#DIV/0!</v>
      </c>
      <c r="S38" s="3964"/>
      <c r="T38" s="3964" t="e">
        <f>IF(F1="售价",ROUND(PRODUCT(T37,AB7:AB36),0),ROUND(PRODUCT(T37,AB7:AB36),1))</f>
        <v>#DIV/0!</v>
      </c>
      <c r="U38" s="3964"/>
      <c r="V38" s="3964" t="e">
        <f>IF(F1="售价",ROUND(PRODUCT(V37,AC7:AC36),0),ROUND(PRODUCT(V37,AC7:AC36),1))</f>
        <v>#DIV/0!</v>
      </c>
      <c r="W38" s="3964"/>
      <c r="X38" s="1375"/>
      <c r="Y38" s="1375"/>
      <c r="Z38" s="1375"/>
      <c r="AA38" s="1375"/>
      <c r="AB38" s="1375"/>
      <c r="AC38" s="1375"/>
    </row>
    <row r="39" spans="1:29" ht="15.75" thickBot="1">
      <c r="A39" s="589" t="s">
        <v>2194</v>
      </c>
      <c r="B39" s="590"/>
      <c r="C39" s="2242" t="e">
        <f>R39</f>
        <v>#DIV/0!</v>
      </c>
      <c r="D39" s="2242"/>
      <c r="E39" s="2242"/>
      <c r="F39" s="2242"/>
      <c r="G39" s="2242"/>
      <c r="H39" s="2242"/>
      <c r="I39" s="2242"/>
      <c r="J39" s="2242"/>
      <c r="K39" s="1420"/>
      <c r="L39" s="1867"/>
      <c r="M39" s="1868"/>
      <c r="N39" s="1868"/>
      <c r="O39" s="1868"/>
      <c r="P39" s="3858" t="str">
        <f>A39</f>
        <v>估价对象XX用房的比较价格（楼面单价，元/平方米）</v>
      </c>
      <c r="Q39" s="3859"/>
      <c r="R39" s="3963" t="e">
        <f>IF(F1="售价",ROUND(IF(D38="简单平均",AVERAGE(R38:W38),R38*F38+T38*H38+V38*J38),0),ROUND(IF(D38="简单平均",AVERAGE(R38:V38),R38*F38+T38*H38+V38*J38),1))</f>
        <v>#DIV/0!</v>
      </c>
      <c r="S39" s="3963"/>
      <c r="T39" s="3963"/>
      <c r="U39" s="3963"/>
      <c r="V39" s="3963"/>
      <c r="W39" s="396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2023-1</v>
      </c>
      <c r="D48" s="2284">
        <f>EDATE(C48,-1)</f>
        <v>44896</v>
      </c>
      <c r="E48" s="2284">
        <f t="shared" ref="E48:O48" si="13">EDATE(D48,-1)</f>
        <v>44866</v>
      </c>
      <c r="F48" s="2284">
        <f t="shared" si="13"/>
        <v>44835</v>
      </c>
      <c r="G48" s="2284">
        <f t="shared" si="13"/>
        <v>44805</v>
      </c>
      <c r="H48" s="2284">
        <f t="shared" si="13"/>
        <v>44774</v>
      </c>
      <c r="I48" s="2284">
        <f t="shared" si="13"/>
        <v>44743</v>
      </c>
      <c r="J48" s="2284">
        <f t="shared" si="13"/>
        <v>44713</v>
      </c>
      <c r="K48" s="2284">
        <f t="shared" si="13"/>
        <v>44682</v>
      </c>
      <c r="L48" s="2284">
        <f t="shared" si="13"/>
        <v>44652</v>
      </c>
      <c r="M48" s="2284">
        <f t="shared" si="13"/>
        <v>44621</v>
      </c>
      <c r="N48" s="2284">
        <f t="shared" si="13"/>
        <v>44593</v>
      </c>
      <c r="O48" s="2284">
        <f t="shared" si="13"/>
        <v>44562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0" t="s">
        <v>738</v>
      </c>
      <c r="D4" s="3861"/>
      <c r="E4" s="3882" t="s">
        <v>739</v>
      </c>
      <c r="F4" s="3883"/>
      <c r="G4" s="3860" t="s">
        <v>740</v>
      </c>
      <c r="H4" s="3861"/>
      <c r="I4" s="3860" t="s">
        <v>741</v>
      </c>
      <c r="J4" s="3861"/>
      <c r="K4" s="484" t="s">
        <v>742</v>
      </c>
      <c r="L4" s="1856"/>
      <c r="M4" s="1857"/>
      <c r="N4" s="1857"/>
      <c r="O4" s="1857"/>
      <c r="P4" s="3862" t="s">
        <v>743</v>
      </c>
      <c r="Q4" s="3863"/>
      <c r="R4" s="3846" t="s">
        <v>739</v>
      </c>
      <c r="S4" s="3847"/>
      <c r="T4" s="3846" t="s">
        <v>740</v>
      </c>
      <c r="U4" s="3847"/>
      <c r="V4" s="3868" t="s">
        <v>741</v>
      </c>
      <c r="W4" s="3868"/>
      <c r="X4" s="1380"/>
      <c r="Y4" s="3846" t="s">
        <v>743</v>
      </c>
      <c r="Z4" s="3847"/>
      <c r="AA4" s="3841" t="s">
        <v>739</v>
      </c>
      <c r="AB4" s="3842" t="s">
        <v>740</v>
      </c>
      <c r="AC4" s="3841" t="s">
        <v>741</v>
      </c>
    </row>
    <row r="5" spans="1:29" ht="15">
      <c r="A5" s="485"/>
      <c r="B5" s="486"/>
      <c r="C5" s="3871" t="s">
        <v>2188</v>
      </c>
      <c r="D5" s="3872"/>
      <c r="E5" s="3884" t="s">
        <v>2189</v>
      </c>
      <c r="F5" s="3885"/>
      <c r="G5" s="3871" t="s">
        <v>2190</v>
      </c>
      <c r="H5" s="3872"/>
      <c r="I5" s="3871" t="s">
        <v>2191</v>
      </c>
      <c r="J5" s="3872"/>
      <c r="K5" s="484"/>
      <c r="L5" s="1856"/>
      <c r="M5" s="1857"/>
      <c r="N5" s="1857"/>
      <c r="O5" s="1857"/>
      <c r="P5" s="3864"/>
      <c r="Q5" s="3865"/>
      <c r="R5" s="3848"/>
      <c r="S5" s="3849"/>
      <c r="T5" s="3848"/>
      <c r="U5" s="3849"/>
      <c r="V5" s="3868"/>
      <c r="W5" s="3868"/>
      <c r="X5" s="1380"/>
      <c r="Y5" s="3848"/>
      <c r="Z5" s="3849"/>
      <c r="AA5" s="3842"/>
      <c r="AB5" s="3842"/>
      <c r="AC5" s="3842"/>
    </row>
    <row r="6" spans="1:29" ht="15.75" thickBot="1">
      <c r="A6" s="487"/>
      <c r="B6" s="488"/>
      <c r="C6" s="3869" t="s">
        <v>2192</v>
      </c>
      <c r="D6" s="3870"/>
      <c r="E6" s="3886" t="s">
        <v>2192</v>
      </c>
      <c r="F6" s="3887"/>
      <c r="G6" s="3869" t="s">
        <v>2192</v>
      </c>
      <c r="H6" s="3870"/>
      <c r="I6" s="3869" t="s">
        <v>2192</v>
      </c>
      <c r="J6" s="3870"/>
      <c r="K6" s="484" t="s">
        <v>477</v>
      </c>
      <c r="L6" s="1856"/>
      <c r="M6" s="1857"/>
      <c r="N6" s="1857"/>
      <c r="O6" s="1857"/>
      <c r="P6" s="3866"/>
      <c r="Q6" s="3867"/>
      <c r="R6" s="3848"/>
      <c r="S6" s="3849"/>
      <c r="T6" s="3850"/>
      <c r="U6" s="3851"/>
      <c r="V6" s="3868"/>
      <c r="W6" s="3868"/>
      <c r="X6" s="1380"/>
      <c r="Y6" s="3850"/>
      <c r="Z6" s="3851"/>
      <c r="AA6" s="3843"/>
      <c r="AB6" s="3843"/>
      <c r="AC6" s="3843"/>
    </row>
    <row r="7" spans="1:29" s="1118" customFormat="1" ht="15.75" thickBot="1">
      <c r="A7" s="2392"/>
      <c r="B7" s="2399"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4" t="s">
        <v>479</v>
      </c>
      <c r="Q7" s="3853"/>
      <c r="R7" s="1381" t="s">
        <v>5</v>
      </c>
      <c r="S7" s="1382">
        <f t="shared" ref="S7:S14" si="0">F7</f>
        <v>0</v>
      </c>
      <c r="T7" s="1381" t="s">
        <v>5</v>
      </c>
      <c r="U7" s="1382">
        <f t="shared" ref="U7:U14" si="1">H7</f>
        <v>0</v>
      </c>
      <c r="V7" s="1381" t="s">
        <v>5</v>
      </c>
      <c r="W7" s="1382">
        <f t="shared" ref="W7:W14" si="2">J7</f>
        <v>0</v>
      </c>
      <c r="X7" s="1383"/>
      <c r="Y7" s="3844" t="s">
        <v>479</v>
      </c>
      <c r="Z7" s="3845"/>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4" t="s">
        <v>482</v>
      </c>
      <c r="Q8" s="3845"/>
      <c r="R8" s="1381" t="s">
        <v>5</v>
      </c>
      <c r="S8" s="1382">
        <f t="shared" si="0"/>
        <v>0</v>
      </c>
      <c r="T8" s="1381" t="s">
        <v>5</v>
      </c>
      <c r="U8" s="1382">
        <f t="shared" si="1"/>
        <v>0</v>
      </c>
      <c r="V8" s="1381" t="s">
        <v>5</v>
      </c>
      <c r="W8" s="1382">
        <f t="shared" si="2"/>
        <v>0</v>
      </c>
      <c r="X8" s="1383"/>
      <c r="Y8" s="3844" t="s">
        <v>482</v>
      </c>
      <c r="Z8" s="384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2" t="s">
        <v>484</v>
      </c>
      <c r="Q9" s="1050" t="str">
        <f t="shared" ref="Q9:Q14" si="6">B9</f>
        <v>用途</v>
      </c>
      <c r="R9" s="1381" t="s">
        <v>5</v>
      </c>
      <c r="S9" s="1382">
        <f t="shared" si="0"/>
        <v>100</v>
      </c>
      <c r="T9" s="1381" t="s">
        <v>5</v>
      </c>
      <c r="U9" s="1382">
        <f t="shared" si="1"/>
        <v>100</v>
      </c>
      <c r="V9" s="1381" t="s">
        <v>5</v>
      </c>
      <c r="W9" s="1382">
        <f t="shared" si="2"/>
        <v>100</v>
      </c>
      <c r="X9" s="1383"/>
      <c r="Y9" s="380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0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2"/>
      <c r="Q11" s="1050">
        <f t="shared" si="6"/>
        <v>111</v>
      </c>
      <c r="R11" s="1381" t="s">
        <v>5</v>
      </c>
      <c r="S11" s="1382">
        <f t="shared" si="0"/>
        <v>100</v>
      </c>
      <c r="T11" s="1381" t="s">
        <v>5</v>
      </c>
      <c r="U11" s="1382">
        <f t="shared" si="1"/>
        <v>100</v>
      </c>
      <c r="V11" s="1381" t="s">
        <v>5</v>
      </c>
      <c r="W11" s="1382">
        <f t="shared" si="2"/>
        <v>100</v>
      </c>
      <c r="X11" s="1383"/>
      <c r="Y11" s="380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0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0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估价对象周边道路状况一般、公共交通通达情况较差，有5、122路经过、停车便捷程度，综合评价交通便捷度一般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4" t="s">
        <v>489</v>
      </c>
      <c r="Q14" s="1385" t="str">
        <f t="shared" si="6"/>
        <v>交通便捷度</v>
      </c>
      <c r="R14" s="1386" t="s">
        <v>5</v>
      </c>
      <c r="S14" s="1387">
        <f t="shared" si="0"/>
        <v>100</v>
      </c>
      <c r="T14" s="1386" t="s">
        <v>5</v>
      </c>
      <c r="U14" s="1387">
        <f t="shared" si="1"/>
        <v>100</v>
      </c>
      <c r="V14" s="1386" t="s">
        <v>5</v>
      </c>
      <c r="W14" s="1387">
        <f t="shared" si="2"/>
        <v>100</v>
      </c>
      <c r="X14" s="1380"/>
      <c r="Y14" s="385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5"/>
      <c r="Q15" s="1385"/>
      <c r="R15" s="1386"/>
      <c r="S15" s="1387"/>
      <c r="T15" s="1386"/>
      <c r="U15" s="1387"/>
      <c r="V15" s="1386"/>
      <c r="W15" s="1387"/>
      <c r="X15" s="1380"/>
      <c r="Y15" s="3855"/>
      <c r="Z15" s="1388"/>
      <c r="AA15" s="1389">
        <v>1</v>
      </c>
      <c r="AB15" s="1389">
        <v>1</v>
      </c>
      <c r="AC15" s="1389">
        <v>1</v>
      </c>
    </row>
    <row r="16" spans="1:29" ht="42.75">
      <c r="A16" s="502"/>
      <c r="B16" s="2211" t="s">
        <v>1829</v>
      </c>
      <c r="C16" s="835" t="str">
        <f>IF(B1="工业",估价对象房地状况!G5,估价对象房地状况!C7)</f>
        <v>估价对象所在区域公共配套设施齐备情况较差</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5"/>
      <c r="Q16" s="1385" t="str">
        <f>B16</f>
        <v>公共配套设施</v>
      </c>
      <c r="R16" s="1386" t="s">
        <v>5</v>
      </c>
      <c r="S16" s="1387">
        <f>F16</f>
        <v>100</v>
      </c>
      <c r="T16" s="1386" t="s">
        <v>5</v>
      </c>
      <c r="U16" s="1387">
        <f>H16</f>
        <v>100</v>
      </c>
      <c r="V16" s="1386" t="s">
        <v>5</v>
      </c>
      <c r="W16" s="1387">
        <f>J16</f>
        <v>100</v>
      </c>
      <c r="X16" s="1380"/>
      <c r="Y16" s="385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5"/>
      <c r="Q17" s="1385"/>
      <c r="R17" s="1386"/>
      <c r="S17" s="1387"/>
      <c r="T17" s="1386"/>
      <c r="U17" s="1387"/>
      <c r="V17" s="1386"/>
      <c r="W17" s="1387"/>
      <c r="X17" s="1380"/>
      <c r="Y17" s="3855"/>
      <c r="Z17" s="1388"/>
      <c r="AA17" s="1389">
        <v>1</v>
      </c>
      <c r="AB17" s="1389">
        <v>1</v>
      </c>
      <c r="AC17" s="1389">
        <v>1</v>
      </c>
    </row>
    <row r="18" spans="1:29" ht="28.5">
      <c r="A18" s="502"/>
      <c r="B18" s="2199"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5"/>
      <c r="Q18" s="2193" t="str">
        <f>B18</f>
        <v>基础设施水平</v>
      </c>
      <c r="R18" s="1386" t="s">
        <v>5</v>
      </c>
      <c r="S18" s="1387">
        <f>F18</f>
        <v>100</v>
      </c>
      <c r="T18" s="1386" t="s">
        <v>5</v>
      </c>
      <c r="U18" s="1387">
        <f>H18</f>
        <v>100</v>
      </c>
      <c r="V18" s="1386" t="s">
        <v>5</v>
      </c>
      <c r="W18" s="1387">
        <f>J18</f>
        <v>100</v>
      </c>
      <c r="X18" s="2195"/>
      <c r="Y18" s="385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5"/>
      <c r="Q19" s="2193"/>
      <c r="R19" s="1386"/>
      <c r="S19" s="1387"/>
      <c r="T19" s="1386"/>
      <c r="U19" s="1387"/>
      <c r="V19" s="1386"/>
      <c r="W19" s="1387"/>
      <c r="X19" s="2195"/>
      <c r="Y19" s="3855"/>
      <c r="Z19" s="2194"/>
      <c r="AA19" s="1389">
        <v>1</v>
      </c>
      <c r="AB19" s="1389">
        <v>1</v>
      </c>
      <c r="AC19" s="1389">
        <v>1</v>
      </c>
    </row>
    <row r="20" spans="1:29" ht="57">
      <c r="A20" s="502"/>
      <c r="B20" s="834" t="s">
        <v>744</v>
      </c>
      <c r="C20" s="835" t="str">
        <f>IF(B1="工业",估价对象房地状况!G7,估价对象房地状况!C9)</f>
        <v>区域自然环境：；人文环境；综合评价环境状况较差</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5"/>
      <c r="Q20" s="1385" t="str">
        <f>B20</f>
        <v>自然及人文环境</v>
      </c>
      <c r="R20" s="1386" t="s">
        <v>5</v>
      </c>
      <c r="S20" s="1387">
        <f>F20</f>
        <v>100</v>
      </c>
      <c r="T20" s="1386" t="s">
        <v>5</v>
      </c>
      <c r="U20" s="1387">
        <f>H20</f>
        <v>100</v>
      </c>
      <c r="V20" s="1386" t="s">
        <v>5</v>
      </c>
      <c r="W20" s="1387">
        <f>J20</f>
        <v>100</v>
      </c>
      <c r="X20" s="1380"/>
      <c r="Y20" s="385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5"/>
      <c r="Q21" s="1385"/>
      <c r="R21" s="1386"/>
      <c r="S21" s="1387"/>
      <c r="T21" s="1386"/>
      <c r="U21" s="1387"/>
      <c r="V21" s="1386"/>
      <c r="W21" s="1387"/>
      <c r="X21" s="1380"/>
      <c r="Y21" s="385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5"/>
      <c r="Q22" s="1385" t="str">
        <f>B22</f>
        <v>楼层</v>
      </c>
      <c r="R22" s="1386" t="s">
        <v>5</v>
      </c>
      <c r="S22" s="1387">
        <f>F22</f>
        <v>100</v>
      </c>
      <c r="T22" s="1386" t="s">
        <v>5</v>
      </c>
      <c r="U22" s="1387">
        <f>H22</f>
        <v>100</v>
      </c>
      <c r="V22" s="1386" t="s">
        <v>5</v>
      </c>
      <c r="W22" s="1387">
        <f>J22</f>
        <v>100</v>
      </c>
      <c r="X22" s="1380"/>
      <c r="Y22" s="385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5"/>
      <c r="Q23" s="1385">
        <f>B23</f>
        <v>111</v>
      </c>
      <c r="R23" s="1386" t="s">
        <v>5</v>
      </c>
      <c r="S23" s="1387">
        <f>F23</f>
        <v>100</v>
      </c>
      <c r="T23" s="1386" t="s">
        <v>5</v>
      </c>
      <c r="U23" s="1387">
        <f>H23</f>
        <v>100</v>
      </c>
      <c r="V23" s="1386" t="s">
        <v>5</v>
      </c>
      <c r="W23" s="1387">
        <f>J23</f>
        <v>100</v>
      </c>
      <c r="X23" s="1380"/>
      <c r="Y23" s="385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5"/>
      <c r="Q24" s="1385">
        <f t="shared" ref="Q24:Q34" si="8">B24</f>
        <v>111</v>
      </c>
      <c r="R24" s="1386" t="s">
        <v>5</v>
      </c>
      <c r="S24" s="1387">
        <f>F24</f>
        <v>100</v>
      </c>
      <c r="T24" s="1386" t="s">
        <v>5</v>
      </c>
      <c r="U24" s="1387">
        <f>H24</f>
        <v>100</v>
      </c>
      <c r="V24" s="1386" t="s">
        <v>5</v>
      </c>
      <c r="W24" s="1387">
        <f>J24</f>
        <v>100</v>
      </c>
      <c r="X24" s="1380"/>
      <c r="Y24" s="385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5"/>
      <c r="Q25" s="1050">
        <f t="shared" si="8"/>
        <v>111</v>
      </c>
      <c r="R25" s="1381" t="s">
        <v>5</v>
      </c>
      <c r="S25" s="1382">
        <f>F25</f>
        <v>100</v>
      </c>
      <c r="T25" s="1381" t="s">
        <v>5</v>
      </c>
      <c r="U25" s="1382">
        <f>H25</f>
        <v>100</v>
      </c>
      <c r="V25" s="1381" t="s">
        <v>5</v>
      </c>
      <c r="W25" s="1382">
        <f>J25</f>
        <v>100</v>
      </c>
      <c r="X25" s="1383"/>
      <c r="Y25" s="385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7"/>
      <c r="Q27" s="1414" t="str">
        <f t="shared" si="8"/>
        <v>成新率</v>
      </c>
      <c r="R27" s="1390" t="s">
        <v>5</v>
      </c>
      <c r="S27" s="1391" t="e">
        <f t="shared" si="9"/>
        <v>#N/A</v>
      </c>
      <c r="T27" s="1390" t="s">
        <v>5</v>
      </c>
      <c r="U27" s="1391" t="e">
        <f t="shared" si="10"/>
        <v>#N/A</v>
      </c>
      <c r="V27" s="1390" t="s">
        <v>5</v>
      </c>
      <c r="W27" s="1391" t="e">
        <f t="shared" si="11"/>
        <v>#N/A</v>
      </c>
      <c r="X27" s="1392"/>
      <c r="Y27" s="385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7"/>
      <c r="Q28" s="1385" t="str">
        <f t="shared" si="8"/>
        <v>物业等级</v>
      </c>
      <c r="R28" s="1386" t="s">
        <v>5</v>
      </c>
      <c r="S28" s="1387">
        <f t="shared" si="9"/>
        <v>100</v>
      </c>
      <c r="T28" s="1386" t="s">
        <v>5</v>
      </c>
      <c r="U28" s="1387">
        <f t="shared" si="10"/>
        <v>100</v>
      </c>
      <c r="V28" s="1386" t="s">
        <v>5</v>
      </c>
      <c r="W28" s="1387">
        <f t="shared" si="11"/>
        <v>100</v>
      </c>
      <c r="X28" s="1380"/>
      <c r="Y28" s="385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7"/>
      <c r="Q29" s="1385" t="str">
        <f t="shared" si="8"/>
        <v>有无电梯</v>
      </c>
      <c r="R29" s="1386" t="s">
        <v>5</v>
      </c>
      <c r="S29" s="1387">
        <f t="shared" si="9"/>
        <v>100</v>
      </c>
      <c r="T29" s="1386" t="s">
        <v>5</v>
      </c>
      <c r="U29" s="1387">
        <f t="shared" si="10"/>
        <v>100</v>
      </c>
      <c r="V29" s="1386" t="s">
        <v>5</v>
      </c>
      <c r="W29" s="1387">
        <f t="shared" si="11"/>
        <v>100</v>
      </c>
      <c r="X29" s="1380"/>
      <c r="Y29" s="385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7"/>
      <c r="Q30" s="1385" t="str">
        <f t="shared" si="8"/>
        <v>建筑面积</v>
      </c>
      <c r="R30" s="1386" t="s">
        <v>5</v>
      </c>
      <c r="S30" s="1387" t="e">
        <f t="shared" si="9"/>
        <v>#N/A</v>
      </c>
      <c r="T30" s="1386" t="s">
        <v>5</v>
      </c>
      <c r="U30" s="1387" t="e">
        <f t="shared" si="10"/>
        <v>#N/A</v>
      </c>
      <c r="V30" s="1386" t="s">
        <v>5</v>
      </c>
      <c r="W30" s="1387" t="e">
        <f t="shared" si="11"/>
        <v>#N/A</v>
      </c>
      <c r="X30" s="1380"/>
      <c r="Y30" s="385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7"/>
      <c r="Q31" s="1050" t="str">
        <f t="shared" si="8"/>
        <v>是否封闭</v>
      </c>
      <c r="R31" s="1381" t="s">
        <v>5</v>
      </c>
      <c r="S31" s="1382">
        <f t="shared" si="9"/>
        <v>100</v>
      </c>
      <c r="T31" s="1381" t="s">
        <v>5</v>
      </c>
      <c r="U31" s="1382">
        <f t="shared" si="10"/>
        <v>100</v>
      </c>
      <c r="V31" s="1381" t="s">
        <v>5</v>
      </c>
      <c r="W31" s="1382">
        <f t="shared" si="11"/>
        <v>100</v>
      </c>
      <c r="X31" s="1383"/>
      <c r="Y31" s="385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7" t="s">
        <v>499</v>
      </c>
      <c r="Q32" s="1385">
        <f t="shared" si="8"/>
        <v>111</v>
      </c>
      <c r="R32" s="1386" t="s">
        <v>5</v>
      </c>
      <c r="S32" s="1387">
        <f t="shared" si="9"/>
        <v>100</v>
      </c>
      <c r="T32" s="1386" t="s">
        <v>5</v>
      </c>
      <c r="U32" s="1387">
        <f t="shared" si="10"/>
        <v>100</v>
      </c>
      <c r="V32" s="1386" t="s">
        <v>5</v>
      </c>
      <c r="W32" s="1387">
        <f t="shared" si="11"/>
        <v>100</v>
      </c>
      <c r="X32" s="1380"/>
      <c r="Y32" s="385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7"/>
      <c r="Q33" s="1385">
        <f t="shared" si="8"/>
        <v>111</v>
      </c>
      <c r="R33" s="1386" t="s">
        <v>5</v>
      </c>
      <c r="S33" s="1387">
        <f t="shared" si="9"/>
        <v>100</v>
      </c>
      <c r="T33" s="1386" t="s">
        <v>5</v>
      </c>
      <c r="U33" s="1387">
        <f t="shared" si="10"/>
        <v>100</v>
      </c>
      <c r="V33" s="1386" t="s">
        <v>5</v>
      </c>
      <c r="W33" s="1387">
        <f t="shared" si="11"/>
        <v>100</v>
      </c>
      <c r="X33" s="1380"/>
      <c r="Y33" s="385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7"/>
      <c r="Q34" s="1385">
        <f t="shared" si="8"/>
        <v>111</v>
      </c>
      <c r="R34" s="1386" t="s">
        <v>5</v>
      </c>
      <c r="S34" s="1387">
        <f t="shared" si="9"/>
        <v>100</v>
      </c>
      <c r="T34" s="1386" t="s">
        <v>5</v>
      </c>
      <c r="U34" s="1387">
        <f t="shared" si="10"/>
        <v>100</v>
      </c>
      <c r="V34" s="1386" t="s">
        <v>5</v>
      </c>
      <c r="W34" s="1387">
        <f t="shared" si="11"/>
        <v>100</v>
      </c>
      <c r="X34" s="1380"/>
      <c r="Y34" s="3857"/>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2" t="str">
        <f>A35</f>
        <v>成交单价（元/平方米）</v>
      </c>
      <c r="Q35" s="3852"/>
      <c r="R35" s="3964">
        <f>E35</f>
        <v>0</v>
      </c>
      <c r="S35" s="3964"/>
      <c r="T35" s="3964">
        <f>G35</f>
        <v>0</v>
      </c>
      <c r="U35" s="3964"/>
      <c r="V35" s="3964">
        <f>I35</f>
        <v>0</v>
      </c>
      <c r="W35" s="3964"/>
      <c r="X35" s="1375"/>
      <c r="Y35" s="1394"/>
      <c r="Z35" s="1375"/>
      <c r="AA35" s="1375"/>
      <c r="AB35" s="1375"/>
      <c r="AC35" s="1375"/>
    </row>
    <row r="36" spans="1:29" ht="15.75" thickBot="1">
      <c r="A36" s="585" t="s">
        <v>2042</v>
      </c>
      <c r="B36" s="851"/>
      <c r="C36" s="2240" t="e">
        <f>R37</f>
        <v>#DIV/0!</v>
      </c>
      <c r="D36" s="2757" t="s">
        <v>2258</v>
      </c>
      <c r="E36" s="2241" t="e">
        <f>R36</f>
        <v>#DIV/0!</v>
      </c>
      <c r="F36" s="2758"/>
      <c r="G36" s="2240" t="e">
        <f>T36</f>
        <v>#DIV/0!</v>
      </c>
      <c r="H36" s="2758"/>
      <c r="I36" s="2241" t="e">
        <f>V36</f>
        <v>#DIV/0!</v>
      </c>
      <c r="J36" s="2758"/>
      <c r="K36" s="2766">
        <f>F36+H36+J36</f>
        <v>0</v>
      </c>
      <c r="L36" s="1867"/>
      <c r="M36" s="1868"/>
      <c r="N36" s="1857"/>
      <c r="O36" s="1868"/>
      <c r="P36" s="3852" t="str">
        <f>A36</f>
        <v>比较价格（元/平方米）</v>
      </c>
      <c r="Q36" s="3852"/>
      <c r="R36" s="3964" t="e">
        <f>IF(F1="售价",ROUND(PRODUCT(R35,AA7:AA34),0),ROUND(PRODUCT(R35,AA7:AA34),1))</f>
        <v>#DIV/0!</v>
      </c>
      <c r="S36" s="3964"/>
      <c r="T36" s="3964" t="e">
        <f>IF(F1="售价",ROUND(PRODUCT(T35,AB7:AB34),0),ROUND(PRODUCT(T35,AB7:AB34),1))</f>
        <v>#DIV/0!</v>
      </c>
      <c r="U36" s="3964"/>
      <c r="V36" s="3964" t="e">
        <f>IF(F1="售价",ROUND(PRODUCT(V35,AC7:AC34),0),ROUND(PRODUCT(V35,AC7:AC34),1))</f>
        <v>#DIV/0!</v>
      </c>
      <c r="W36" s="3964"/>
      <c r="X36" s="1375"/>
      <c r="Y36" s="1375"/>
      <c r="Z36" s="1375"/>
      <c r="AA36" s="1375"/>
      <c r="AB36" s="1375"/>
      <c r="AC36" s="1375"/>
    </row>
    <row r="37" spans="1:29" ht="15.75" thickBot="1">
      <c r="A37" s="589" t="s">
        <v>2194</v>
      </c>
      <c r="B37" s="590"/>
      <c r="C37" s="2242" t="e">
        <f>R37</f>
        <v>#DIV/0!</v>
      </c>
      <c r="D37" s="2242"/>
      <c r="E37" s="2242"/>
      <c r="F37" s="2242"/>
      <c r="G37" s="2242"/>
      <c r="H37" s="2242"/>
      <c r="I37" s="2242"/>
      <c r="J37" s="2242"/>
      <c r="K37" s="1420"/>
      <c r="L37" s="1867"/>
      <c r="M37" s="1868"/>
      <c r="N37" s="1868"/>
      <c r="O37" s="1868"/>
      <c r="P37" s="3858" t="str">
        <f>A37</f>
        <v>估价对象XX用房的比较价格（楼面单价，元/平方米）</v>
      </c>
      <c r="Q37" s="3859"/>
      <c r="R37" s="3963" t="e">
        <f>IF(F1="售价",ROUND(IF(D36="简单平均",AVERAGE(R36:W36),R36*F36+T36*H36+V36*J36),0),ROUND(IF(D36="简单平均",AVERAGE(R36:V36),R36*F36+T36*H36+V36*J36),1))</f>
        <v>#DIV/0!</v>
      </c>
      <c r="S37" s="3963"/>
      <c r="T37" s="3963"/>
      <c r="U37" s="3963"/>
      <c r="V37" s="3963"/>
      <c r="W37" s="396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2023-1</v>
      </c>
      <c r="D46" s="2284">
        <f>EDATE(C46,-1)</f>
        <v>44896</v>
      </c>
      <c r="E46" s="2284">
        <f t="shared" ref="E46:O46" si="13">EDATE(D46,-1)</f>
        <v>44866</v>
      </c>
      <c r="F46" s="2284">
        <f t="shared" si="13"/>
        <v>44835</v>
      </c>
      <c r="G46" s="2284">
        <f t="shared" si="13"/>
        <v>44805</v>
      </c>
      <c r="H46" s="2284">
        <f t="shared" si="13"/>
        <v>44774</v>
      </c>
      <c r="I46" s="2284">
        <f t="shared" si="13"/>
        <v>44743</v>
      </c>
      <c r="J46" s="2284">
        <f t="shared" si="13"/>
        <v>44713</v>
      </c>
      <c r="K46" s="2284">
        <f t="shared" si="13"/>
        <v>44682</v>
      </c>
      <c r="L46" s="2284">
        <f t="shared" si="13"/>
        <v>44652</v>
      </c>
      <c r="M46" s="2284">
        <f t="shared" si="13"/>
        <v>44621</v>
      </c>
      <c r="N46" s="2284">
        <f t="shared" si="13"/>
        <v>44593</v>
      </c>
      <c r="O46" s="2284">
        <f t="shared" si="13"/>
        <v>44562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3" t="s">
        <v>1661</v>
      </c>
      <c r="D1" s="3974"/>
      <c r="E1" s="3974"/>
      <c r="F1" s="3974"/>
      <c r="G1" s="3974"/>
      <c r="H1" s="3974"/>
      <c r="I1" s="3974"/>
      <c r="J1" s="3974"/>
      <c r="K1" s="3974"/>
      <c r="L1" s="3974"/>
      <c r="M1" s="3974"/>
      <c r="N1" s="3974"/>
      <c r="O1" s="3974"/>
      <c r="P1" s="3974"/>
      <c r="Q1" s="3974"/>
      <c r="R1" s="3974"/>
      <c r="S1" s="397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2187</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2186</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2185</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2198</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2184</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2183</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0" t="s">
        <v>14</v>
      </c>
      <c r="D22" s="3971"/>
      <c r="E22" s="3971"/>
      <c r="F22" s="3971"/>
      <c r="G22" s="3971"/>
      <c r="H22" s="3971"/>
      <c r="I22" s="3971"/>
      <c r="J22" s="3971"/>
      <c r="K22" s="3971"/>
      <c r="L22" s="3971"/>
      <c r="M22" s="3971"/>
      <c r="N22" s="3971"/>
      <c r="O22" s="3971"/>
      <c r="P22" s="3971"/>
      <c r="Q22" s="3972"/>
      <c r="R22" s="467" t="e">
        <f>ROUND(S22*10000/B22,0)</f>
        <v>#DIV/0!</v>
      </c>
      <c r="S22" s="51">
        <f>SUM(S24:S10000)</f>
        <v>0</v>
      </c>
    </row>
    <row r="23" spans="1:45" s="1421" customFormat="1" ht="24">
      <c r="A23" s="15" t="s">
        <v>770</v>
      </c>
      <c r="B23" s="2614"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44929</v>
      </c>
      <c r="H1" s="2417">
        <f>IF(C1&gt;C13,0,MATCH(C1,C$13:C$109,-1))+IF(SUMIF(C13:C109,C1,D13:D109)=0,13,12)</f>
        <v>13</v>
      </c>
      <c r="I1" s="2417">
        <f>MATCH(C2,H3:H7,1)+IF(SUMIF(H3:H7,C2,I3:I7)=0,2,1)</f>
        <v>7</v>
      </c>
      <c r="J1" s="2475">
        <f ca="1">MATCH(C3,H3:H7,1)+IF(SUMIF(H3:H7,C3,J3:J7)=0,2,1)</f>
        <v>5</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6</v>
      </c>
      <c r="D2" s="2478" t="s">
        <v>2066</v>
      </c>
      <c r="E2" s="2481">
        <f ca="1">INDIRECT("I"&amp;$I$1)/100</f>
        <v>4.2999999999999997E-2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3</v>
      </c>
      <c r="D3" s="2478" t="s">
        <v>2066</v>
      </c>
      <c r="E3" s="2481">
        <f ca="1">INDIRECT("J"&amp;$J$1)/100</f>
        <v>3.6499999999999998E-2</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2286</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3" t="s">
        <v>1556</v>
      </c>
      <c r="B1" s="3663"/>
      <c r="C1" s="3663"/>
      <c r="D1" s="3663"/>
      <c r="E1" s="3663"/>
      <c r="F1" s="3663"/>
      <c r="G1" s="3663"/>
      <c r="H1" s="3663"/>
      <c r="I1" s="3663"/>
      <c r="J1" s="3663"/>
      <c r="K1" s="3663"/>
      <c r="L1" s="3663"/>
      <c r="M1" s="3663"/>
      <c r="N1" s="3663"/>
      <c r="O1" s="3663"/>
      <c r="P1" s="3663"/>
      <c r="Q1" s="3663"/>
      <c r="R1" s="3663"/>
    </row>
    <row r="2" spans="1:18">
      <c r="A2" s="1595" t="s">
        <v>1558</v>
      </c>
      <c r="B2" s="1595"/>
      <c r="C2" s="1595"/>
      <c r="D2" s="1595"/>
      <c r="E2" s="1595"/>
      <c r="F2" s="1595"/>
      <c r="G2" s="1595"/>
      <c r="H2" s="1595"/>
      <c r="I2" s="1596"/>
      <c r="J2" s="1596"/>
      <c r="K2" s="1597" t="str">
        <f>"估价期日："&amp;TEXT(项目基本情况!D3,"yyyy年m月d日;;")</f>
        <v>估价期日：2023年1月3日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4" t="s">
        <v>1547</v>
      </c>
      <c r="B3" s="3664" t="s">
        <v>2013</v>
      </c>
      <c r="C3" s="3665" t="s">
        <v>1548</v>
      </c>
      <c r="D3" s="3664" t="s">
        <v>2017</v>
      </c>
      <c r="E3" s="3667" t="s">
        <v>1549</v>
      </c>
      <c r="F3" s="3667"/>
      <c r="G3" s="3667"/>
      <c r="H3" s="3667" t="s">
        <v>1550</v>
      </c>
      <c r="I3" s="3667"/>
      <c r="J3" s="3667"/>
      <c r="K3" s="3665" t="s">
        <v>1551</v>
      </c>
      <c r="L3" s="3665" t="s">
        <v>1552</v>
      </c>
      <c r="M3" s="3664" t="s">
        <v>2014</v>
      </c>
      <c r="N3" s="3666" t="str">
        <f>"（分摊）"&amp;项目基本情况!A17&amp;"国有建设用地使用权面积/㎡"</f>
        <v>（分摊）出让国有建设用地使用权面积/㎡</v>
      </c>
      <c r="O3" s="3664" t="s">
        <v>1581</v>
      </c>
      <c r="P3" s="3665" t="s">
        <v>1561</v>
      </c>
      <c r="Q3" s="3665" t="s">
        <v>1582</v>
      </c>
      <c r="R3" s="3665" t="s">
        <v>1553</v>
      </c>
    </row>
    <row r="4" spans="1:18" ht="36.75" customHeight="1">
      <c r="A4" s="3664"/>
      <c r="B4" s="3664"/>
      <c r="C4" s="3665"/>
      <c r="D4" s="3664"/>
      <c r="E4" s="2254" t="s">
        <v>1560</v>
      </c>
      <c r="F4" s="2254" t="s">
        <v>2026</v>
      </c>
      <c r="G4" s="2254" t="s">
        <v>1554</v>
      </c>
      <c r="H4" s="2254" t="s">
        <v>1555</v>
      </c>
      <c r="I4" s="2254" t="s">
        <v>2027</v>
      </c>
      <c r="J4" s="2254" t="s">
        <v>1554</v>
      </c>
      <c r="K4" s="3665"/>
      <c r="L4" s="3665"/>
      <c r="M4" s="3664"/>
      <c r="N4" s="3666"/>
      <c r="O4" s="3664"/>
      <c r="P4" s="3665"/>
      <c r="Q4" s="3665"/>
      <c r="R4" s="366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85225.54</v>
      </c>
      <c r="O5" s="1598">
        <f>项目基本情况!C21</f>
        <v>294028.11</v>
      </c>
      <c r="P5" s="1598">
        <f ca="1">结果表!E42</f>
        <v>5406</v>
      </c>
      <c r="Q5" s="1598">
        <f ca="1">结果表!D42</f>
        <v>1567</v>
      </c>
      <c r="R5" s="1599">
        <f ca="1">结果表!C42</f>
        <v>46076</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1600" t="str">
        <f>结果表!O39</f>
        <v>——</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1600" t="str">
        <f>结果表!O40</f>
        <v>——</v>
      </c>
    </row>
    <row r="8" spans="1:18">
      <c r="A8" s="3668">
        <f>IF(项目基本情况!B9="市场价格","——",项目基本情况!E9)</f>
        <v>0</v>
      </c>
      <c r="B8" s="3669"/>
      <c r="C8" s="3669"/>
      <c r="D8" s="3669"/>
      <c r="E8" s="3669"/>
      <c r="F8" s="3669"/>
      <c r="G8" s="3669"/>
      <c r="H8" s="3669"/>
      <c r="I8" s="3669"/>
      <c r="J8" s="3669"/>
      <c r="K8" s="3669"/>
      <c r="L8" s="3669"/>
      <c r="M8" s="3669"/>
      <c r="N8" s="3669"/>
      <c r="O8" s="3669"/>
      <c r="P8" s="3669"/>
      <c r="Q8" s="367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1" t="s">
        <v>1583</v>
      </c>
      <c r="B1" s="3671"/>
      <c r="C1" s="3671"/>
      <c r="D1" s="3671"/>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1"/>
      <c r="C3" s="3671"/>
      <c r="D3" s="3671"/>
    </row>
    <row r="4" spans="1:4" ht="36.75" customHeight="1">
      <c r="A4" s="3671" t="str">
        <f>"3.估价规划限制条件：详见"&amp;项目基本情况!E21&amp;"。"</f>
        <v>3.估价规划限制条件：详见《建设工程规划许可证》[]、《出让合同》[]。</v>
      </c>
      <c r="B4" s="3671"/>
      <c r="C4" s="3671"/>
      <c r="D4" s="3671"/>
    </row>
    <row r="5" spans="1:4">
      <c r="A5" s="3674" t="s">
        <v>1584</v>
      </c>
      <c r="B5" s="3674"/>
      <c r="C5" s="3674"/>
      <c r="D5" s="3674"/>
    </row>
    <row r="6" spans="1:4">
      <c r="A6" s="3671" t="s">
        <v>1562</v>
      </c>
      <c r="B6" s="3671"/>
      <c r="C6" s="3671"/>
      <c r="D6" s="3671"/>
    </row>
    <row r="7" spans="1:4" ht="33" customHeight="1">
      <c r="A7" s="3671" t="s">
        <v>1857</v>
      </c>
      <c r="B7" s="3671"/>
      <c r="C7" s="3671"/>
      <c r="D7" s="3671"/>
    </row>
    <row r="8" spans="1:4" ht="32.25" customHeight="1">
      <c r="A8" s="36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1"/>
      <c r="C8" s="3671"/>
      <c r="D8" s="3671"/>
    </row>
    <row r="9" spans="1:4" ht="33.75" customHeight="1">
      <c r="A9" s="36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1"/>
      <c r="C9" s="3671"/>
      <c r="D9" s="3671"/>
    </row>
    <row r="10" spans="1:4">
      <c r="A10" s="3671" t="str">
        <f>IF(项目基本情况!B8="抵押","4.估价师所知悉的法定优先受偿款情况为：","——")</f>
        <v>4.估价师所知悉的法定优先受偿款情况为：</v>
      </c>
      <c r="B10" s="3671"/>
      <c r="C10" s="3671"/>
      <c r="D10" s="3671"/>
    </row>
    <row r="11" spans="1:4" ht="37.5" customHeight="1">
      <c r="A11" s="36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3"/>
      <c r="C11" s="3673"/>
      <c r="D11" s="3673"/>
    </row>
    <row r="12" spans="1:4" ht="168" customHeight="1">
      <c r="A12" s="3674" t="s">
        <v>1586</v>
      </c>
      <c r="B12" s="3674"/>
      <c r="C12" s="3674"/>
      <c r="D12" s="3674"/>
    </row>
    <row r="13" spans="1:4">
      <c r="A13" s="3672" t="s">
        <v>2028</v>
      </c>
      <c r="B13" s="3672"/>
      <c r="C13" s="3672"/>
      <c r="D13" s="3672"/>
    </row>
    <row r="14" spans="1:4">
      <c r="A14" s="3673" t="str">
        <f>IF(项目基本情况!B8="抵押","综上，"&amp;结果表!K47,"——")</f>
        <v>综上，本次评估不存在估价师知悉的法定优先受偿款</v>
      </c>
      <c r="B14" s="3673"/>
      <c r="C14" s="3673"/>
      <c r="D14" s="3673"/>
    </row>
    <row r="15" spans="1:4" ht="58.5" customHeight="1">
      <c r="A15" s="36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1"/>
      <c r="C15" s="3671"/>
      <c r="D15" s="3671"/>
    </row>
    <row r="16" spans="1:4" ht="70.5" customHeight="1">
      <c r="A16" s="36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1"/>
      <c r="C16" s="3671"/>
      <c r="D16" s="3671"/>
    </row>
    <row r="17" spans="1:4">
      <c r="A17" s="3671" t="s">
        <v>1984</v>
      </c>
      <c r="B17" s="3671"/>
      <c r="C17" s="3671"/>
      <c r="D17" s="3671"/>
    </row>
    <row r="18" spans="1:4">
      <c r="A18" s="3671" t="s">
        <v>1976</v>
      </c>
      <c r="B18" s="3671"/>
      <c r="C18" s="3671"/>
      <c r="D18" s="367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1" t="s">
        <v>1981</v>
      </c>
      <c r="B23" s="3671"/>
      <c r="C23" s="3671"/>
      <c r="D23" s="367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3" t="s">
        <v>27</v>
      </c>
      <c r="B15" s="3684" t="s">
        <v>784</v>
      </c>
      <c r="C15" s="3680"/>
    </row>
    <row r="16" spans="1:7" ht="14.25">
      <c r="A16" s="3683"/>
      <c r="B16" s="3681" t="s">
        <v>28</v>
      </c>
      <c r="C16" s="1070" t="s">
        <v>27</v>
      </c>
    </row>
    <row r="17" spans="1:3" ht="14.25">
      <c r="A17" s="3683"/>
      <c r="B17" s="3681"/>
      <c r="C17" s="1070" t="s">
        <v>29</v>
      </c>
    </row>
    <row r="18" spans="1:3" ht="14.25">
      <c r="A18" s="3683"/>
      <c r="B18" s="3681"/>
      <c r="C18" s="1070" t="s">
        <v>30</v>
      </c>
    </row>
    <row r="19" spans="1:3" ht="14.25">
      <c r="A19" s="3683"/>
      <c r="B19" s="3679" t="s">
        <v>31</v>
      </c>
      <c r="C19" s="3680"/>
    </row>
    <row r="20" spans="1:3" ht="14.25">
      <c r="A20" s="1071" t="s">
        <v>32</v>
      </c>
      <c r="B20" s="1072"/>
      <c r="C20" s="1073"/>
    </row>
    <row r="21" spans="1:3" ht="14.25">
      <c r="A21" s="3682" t="s">
        <v>33</v>
      </c>
      <c r="B21" s="3679" t="s">
        <v>34</v>
      </c>
      <c r="C21" s="3680"/>
    </row>
    <row r="22" spans="1:3" ht="14.25">
      <c r="A22" s="3682"/>
      <c r="B22" s="3679" t="s">
        <v>35</v>
      </c>
      <c r="C22" s="3680"/>
    </row>
    <row r="23" spans="1:3" ht="14.25">
      <c r="A23" s="3682"/>
      <c r="B23" s="3679" t="s">
        <v>36</v>
      </c>
      <c r="C23" s="3680"/>
    </row>
    <row r="24" spans="1:3" ht="14.25">
      <c r="A24" s="3682"/>
      <c r="B24" s="3685" t="s">
        <v>37</v>
      </c>
      <c r="C24" s="1074" t="s">
        <v>775</v>
      </c>
    </row>
    <row r="25" spans="1:3" ht="14.25">
      <c r="A25" s="3682"/>
      <c r="B25" s="3686"/>
      <c r="C25" s="1074" t="s">
        <v>776</v>
      </c>
    </row>
    <row r="26" spans="1:3" ht="14.25">
      <c r="A26" s="3682"/>
      <c r="B26" s="3686"/>
      <c r="C26" s="1074" t="s">
        <v>777</v>
      </c>
    </row>
    <row r="27" spans="1:3" ht="14.25">
      <c r="A27" s="3682"/>
      <c r="B27" s="3686"/>
      <c r="C27" s="1074" t="s">
        <v>778</v>
      </c>
    </row>
    <row r="28" spans="1:3" ht="14.25">
      <c r="A28" s="3682"/>
      <c r="B28" s="3686"/>
      <c r="C28" s="1074" t="s">
        <v>779</v>
      </c>
    </row>
    <row r="29" spans="1:3" ht="14.25">
      <c r="A29" s="3682"/>
      <c r="B29" s="3686"/>
      <c r="C29" s="1074" t="s">
        <v>780</v>
      </c>
    </row>
    <row r="30" spans="1:3" ht="14.25">
      <c r="A30" s="3682"/>
      <c r="B30" s="3686"/>
      <c r="C30" s="1074" t="s">
        <v>781</v>
      </c>
    </row>
    <row r="31" spans="1:3" ht="14.25">
      <c r="A31" s="3682"/>
      <c r="B31" s="3686"/>
      <c r="C31" s="1074" t="s">
        <v>782</v>
      </c>
    </row>
    <row r="32" spans="1:3" ht="14.25">
      <c r="A32" s="3682"/>
      <c r="B32" s="3686"/>
      <c r="C32" s="1074" t="s">
        <v>1181</v>
      </c>
    </row>
    <row r="33" spans="1:3" ht="14.25">
      <c r="A33" s="3682"/>
      <c r="B33" s="3676" t="s">
        <v>1187</v>
      </c>
      <c r="C33" s="1074" t="s">
        <v>1182</v>
      </c>
    </row>
    <row r="34" spans="1:3" ht="14.25">
      <c r="A34" s="3682"/>
      <c r="B34" s="3677"/>
      <c r="C34" s="1079" t="s">
        <v>1183</v>
      </c>
    </row>
    <row r="35" spans="1:3" ht="14.25">
      <c r="A35" s="3682"/>
      <c r="B35" s="3677"/>
      <c r="C35" s="1080" t="s">
        <v>1184</v>
      </c>
    </row>
    <row r="36" spans="1:3" ht="14.25">
      <c r="A36" s="3682"/>
      <c r="B36" s="3677"/>
      <c r="C36" s="1080" t="s">
        <v>1185</v>
      </c>
    </row>
    <row r="37" spans="1:3" ht="14.25">
      <c r="A37" s="3682"/>
      <c r="B37" s="367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44929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2235</v>
      </c>
      <c r="B12" s="2773">
        <f ca="1">IF(C12&lt;B2,"已过期",1120040230)</f>
        <v>1120040230</v>
      </c>
      <c r="C12" s="2776">
        <v>45937</v>
      </c>
      <c r="D12" s="2784" t="s">
        <v>2236</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2246</v>
      </c>
      <c r="B15" s="2773">
        <f ca="1">IF(C15&lt;B2,"已过期",1119980106)</f>
        <v>1119980106</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0" t="s">
        <v>1448</v>
      </c>
      <c r="B18" s="3691"/>
      <c r="C18" s="3691"/>
      <c r="D18" s="3691"/>
      <c r="E18" s="3691"/>
      <c r="F18" s="3691"/>
      <c r="G18" s="2777"/>
    </row>
    <row r="19" spans="1:7" ht="20.25" customHeight="1">
      <c r="A19" s="3687" t="s">
        <v>1449</v>
      </c>
      <c r="B19" s="3687"/>
      <c r="C19" s="3688"/>
      <c r="D19" s="3689" t="s">
        <v>1450</v>
      </c>
      <c r="E19" s="3687"/>
      <c r="F19" s="368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2751</v>
      </c>
    </row>
    <row r="8" spans="1:23">
      <c r="A8" s="6" t="s">
        <v>75</v>
      </c>
      <c r="B8" s="6" t="s">
        <v>76</v>
      </c>
      <c r="C8" s="1368" t="s">
        <v>1244</v>
      </c>
      <c r="F8" s="7" t="s">
        <v>121</v>
      </c>
      <c r="H8" s="3337" t="s">
        <v>2745</v>
      </c>
      <c r="I8" s="7" t="s">
        <v>2752</v>
      </c>
    </row>
    <row r="9" spans="1:23">
      <c r="A9" s="6" t="s">
        <v>77</v>
      </c>
      <c r="B9" s="6" t="s">
        <v>122</v>
      </c>
      <c r="C9" s="1368" t="s">
        <v>1245</v>
      </c>
      <c r="F9" s="7" t="s">
        <v>78</v>
      </c>
      <c r="H9" s="7"/>
      <c r="I9" s="7" t="s">
        <v>2753</v>
      </c>
    </row>
    <row r="10" spans="1:23">
      <c r="A10" s="6" t="s">
        <v>79</v>
      </c>
      <c r="B10" s="6" t="s">
        <v>123</v>
      </c>
      <c r="C10" s="1368" t="s">
        <v>1246</v>
      </c>
      <c r="F10" s="3337" t="s">
        <v>2744</v>
      </c>
      <c r="I10" s="7" t="s">
        <v>2754</v>
      </c>
    </row>
    <row r="11" spans="1:23">
      <c r="A11" s="6" t="s">
        <v>80</v>
      </c>
      <c r="B11" s="6" t="s">
        <v>124</v>
      </c>
      <c r="C11" s="1368" t="s">
        <v>1247</v>
      </c>
      <c r="I11" s="7" t="s">
        <v>2755</v>
      </c>
    </row>
    <row r="12" spans="1:23">
      <c r="A12" s="6" t="s">
        <v>81</v>
      </c>
      <c r="B12" s="6" t="s">
        <v>125</v>
      </c>
      <c r="C12" s="1368" t="s">
        <v>1248</v>
      </c>
      <c r="I12" s="7" t="s">
        <v>2756</v>
      </c>
    </row>
    <row r="13" spans="1:23">
      <c r="A13" s="6" t="s">
        <v>82</v>
      </c>
      <c r="B13" s="6" t="s">
        <v>126</v>
      </c>
      <c r="C13" s="1368" t="s">
        <v>1249</v>
      </c>
      <c r="I13" s="7" t="s">
        <v>2757</v>
      </c>
    </row>
    <row r="14" spans="1:23">
      <c r="A14" s="6" t="s">
        <v>83</v>
      </c>
      <c r="B14" s="6" t="s">
        <v>127</v>
      </c>
      <c r="C14" s="1371" t="s">
        <v>1421</v>
      </c>
      <c r="I14" s="7" t="s">
        <v>2758</v>
      </c>
    </row>
    <row r="15" spans="1:23">
      <c r="A15" s="6" t="s">
        <v>84</v>
      </c>
      <c r="B15" s="6" t="s">
        <v>1214</v>
      </c>
      <c r="C15" s="1371"/>
      <c r="I15" s="7" t="s">
        <v>2759</v>
      </c>
    </row>
    <row r="16" spans="1:23">
      <c r="A16" s="6" t="s">
        <v>85</v>
      </c>
      <c r="B16" s="6" t="s">
        <v>1215</v>
      </c>
      <c r="C16" s="1371"/>
    </row>
    <row r="17" spans="1:3">
      <c r="A17" s="6" t="s">
        <v>86</v>
      </c>
      <c r="B17" s="6" t="s">
        <v>1216</v>
      </c>
      <c r="C17" s="1371"/>
    </row>
    <row r="18" spans="1:3">
      <c r="A18" s="6" t="s">
        <v>87</v>
      </c>
      <c r="B18" s="2547" t="s">
        <v>2212</v>
      </c>
      <c r="C18" s="1371"/>
    </row>
    <row r="19" spans="1:3">
      <c r="A19" s="6" t="s">
        <v>88</v>
      </c>
      <c r="B19" s="2547" t="s">
        <v>2219</v>
      </c>
      <c r="C19" s="1371"/>
    </row>
    <row r="20" spans="1:3">
      <c r="A20" s="6" t="s">
        <v>89</v>
      </c>
      <c r="B20" s="2547" t="s">
        <v>2259</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8"/>
      <c r="E53" s="1558"/>
    </row>
    <row r="54" spans="1:5">
      <c r="A54" s="369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2023-01-03T06:38:12Z</dcterms:modified>
</cp:coreProperties>
</file>